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1"/>
  <workbookPr codeName="ThisWorkbook"/>
  <mc:AlternateContent xmlns:mc="http://schemas.openxmlformats.org/markup-compatibility/2006">
    <mc:Choice Requires="x15">
      <x15ac:absPath xmlns:x15ac="http://schemas.microsoft.com/office/spreadsheetml/2010/11/ac" url="D:\E DRIVE\Financial Cost\2026\JULY-26\"/>
    </mc:Choice>
  </mc:AlternateContent>
  <xr:revisionPtr revIDLastSave="0" documentId="13_ncr:1_{446BB013-B82C-4E89-AA5E-4EF22DE1C7CF}" xr6:coauthVersionLast="47" xr6:coauthVersionMax="47" xr10:uidLastSave="{00000000-0000-0000-0000-000000000000}"/>
  <bookViews>
    <workbookView xWindow="-108" yWindow="-108" windowWidth="23256" windowHeight="12456" tabRatio="921" firstSheet="1" activeTab="5" xr2:uid="{082C2727-8AF0-4BB4-A71B-A625C4AC12EC}"/>
  </bookViews>
  <sheets>
    <sheet name="MATURITY LIST" sheetId="75" state="hidden" r:id="rId1"/>
    <sheet name="FINANCIAL COST SUMMARY" sheetId="57" r:id="rId2"/>
    <sheet name="FINANCIAL SUMMARY" sheetId="69" r:id="rId3"/>
    <sheet name="USANCE LC SHEET " sheetId="85" r:id="rId4"/>
    <sheet name="INFLOW-OUTFLOW SUMMARY" sheetId="68" r:id="rId5"/>
    <sheet name="BORROWING SUMMARY" sheetId="63" r:id="rId6"/>
    <sheet name="AL-BARAKA-ISTISNA" sheetId="58" r:id="rId7"/>
    <sheet name="ASKARI - FATR" sheetId="82" r:id="rId8"/>
    <sheet name="ALFALAH-FE25" sheetId="66" state="hidden" r:id="rId9"/>
    <sheet name="ASKARI-FATR" sheetId="76" state="hidden" r:id="rId10"/>
    <sheet name="ALFALAH-FATR" sheetId="64" r:id="rId11"/>
    <sheet name="ALFALAH-RF " sheetId="65" r:id="rId12"/>
    <sheet name="ALLIED BANK - FATR" sheetId="84" r:id="rId13"/>
    <sheet name="BOP-RF" sheetId="18" r:id="rId14"/>
    <sheet name="BOP-FATR" sheetId="31" r:id="rId15"/>
    <sheet name="BANK ISLAMI" sheetId="73" r:id="rId16"/>
    <sheet name="BIPL - RF" sheetId="90" r:id="rId17"/>
    <sheet name="BOK RF" sheetId="88" r:id="rId18"/>
    <sheet name="BOK - FATR" sheetId="89" r:id="rId19"/>
    <sheet name="FBL-ISTISNA" sheetId="95" r:id="rId20"/>
    <sheet name="HBL-FATR " sheetId="56" r:id="rId21"/>
    <sheet name="HBL-RF" sheetId="55" r:id="rId22"/>
    <sheet name="HABIB METROPOLITAN-FATR" sheetId="62" r:id="rId23"/>
    <sheet name="HABIBMETROPOLITAN-RF" sheetId="61" r:id="rId24"/>
    <sheet name="JS-RF" sheetId="50" r:id="rId25"/>
    <sheet name="JS-FATR" sheetId="52" r:id="rId26"/>
    <sheet name="MCB-FATR" sheetId="54" r:id="rId27"/>
    <sheet name="MCB-RF" sheetId="53" r:id="rId28"/>
    <sheet name="MEEZAN-MUSAWAMAH" sheetId="60" r:id="rId29"/>
    <sheet name="NBP - FATR" sheetId="86" r:id="rId30"/>
    <sheet name="NBP - RF" sheetId="87" r:id="rId31"/>
    <sheet name="PBICL-RF -I (2)" sheetId="93" r:id="rId32"/>
    <sheet name="PBICL-RF -II (2)" sheetId="96" r:id="rId33"/>
    <sheet name="SONERI-FATR" sheetId="46" r:id="rId34"/>
    <sheet name="SONERI-RF " sheetId="42" r:id="rId35"/>
    <sheet name="SAMBA-RF" sheetId="97" r:id="rId36"/>
    <sheet name="SAMBA-FATR" sheetId="98" r:id="rId37"/>
  </sheets>
  <definedNames>
    <definedName name="_xlnm._FilterDatabase" localSheetId="11" hidden="1">'ALFALAH-RF '!$K$1:$K$87</definedName>
    <definedName name="_xlnm._FilterDatabase" localSheetId="16" hidden="1">'BIPL - RF'!$K$1:$K$49</definedName>
    <definedName name="_xlnm._FilterDatabase" localSheetId="17" hidden="1">'BOK RF'!$K$1:$K$49</definedName>
    <definedName name="_xlnm._FilterDatabase" localSheetId="13" hidden="1">'BOP-RF'!$K$1:$K$49</definedName>
    <definedName name="_xlnm._FilterDatabase" localSheetId="1" hidden="1">'FINANCIAL COST SUMMARY'!$A$4:$K$43</definedName>
    <definedName name="_xlnm._FilterDatabase" localSheetId="23" hidden="1">'HABIBMETROPOLITAN-RF'!$A$1:$K$37</definedName>
    <definedName name="_xlnm._FilterDatabase" localSheetId="21" hidden="1">'HBL-RF'!$A$1:$L$37</definedName>
    <definedName name="_xlnm._FilterDatabase" localSheetId="24" hidden="1">'JS-RF'!$K$1:$K$50</definedName>
    <definedName name="_xlnm._FilterDatabase" localSheetId="27" hidden="1">'MCB-RF'!$K$1:$K$50</definedName>
    <definedName name="_xlnm._FilterDatabase" localSheetId="30" hidden="1">'NBP - RF'!$K$1:$K$49</definedName>
    <definedName name="_xlnm._FilterDatabase" localSheetId="35" hidden="1">'SAMBA-RF'!$K$1:$K$49</definedName>
    <definedName name="_xlnm._FilterDatabase" localSheetId="34" hidden="1">'SONERI-RF '!$K$1:$K$49</definedName>
    <definedName name="_xlnm._FilterDatabase" localSheetId="3" hidden="1">'USANCE LC SHEET '!$A$7:$S$221</definedName>
    <definedName name="_xlnm.Print_Area" localSheetId="6">'AL-BARAKA-ISTISNA'!$A$1:$C$91</definedName>
    <definedName name="_xlnm.Print_Area" localSheetId="8">'ALFALAH-FE25'!#REF!</definedName>
    <definedName name="_xlnm.Print_Area" localSheetId="11">'ALFALAH-RF '!$A$1:$K$87</definedName>
    <definedName name="_xlnm.Print_Area" localSheetId="12">'ALLIED BANK - FATR'!$A$1:$G$92</definedName>
    <definedName name="_xlnm.Print_Area" localSheetId="7">'ASKARI - FATR'!$A$1:$K$92</definedName>
    <definedName name="_xlnm.Print_Area" localSheetId="15">'BANK ISLAMI'!$A$1:$D$91</definedName>
    <definedName name="_xlnm.Print_Area" localSheetId="16">'BIPL - RF'!$A$1:$K$49</definedName>
    <definedName name="_xlnm.Print_Area" localSheetId="18">'BOK - FATR'!$A$1:$C$92</definedName>
    <definedName name="_xlnm.Print_Area" localSheetId="14">'BOP-FATR'!$A$1:$F$92</definedName>
    <definedName name="_xlnm.Print_Area" localSheetId="13">'BOP-RF'!$A$1:$K$49</definedName>
    <definedName name="_xlnm.Print_Area" localSheetId="5">'BORROWING SUMMARY'!$A$1:$S$24</definedName>
    <definedName name="_xlnm.Print_Area" localSheetId="19">'FBL-ISTISNA'!$A$1:$E$92</definedName>
    <definedName name="_xlnm.Print_Area" localSheetId="1">'FINANCIAL COST SUMMARY'!$A$1:$K$46</definedName>
    <definedName name="_xlnm.Print_Area" localSheetId="2">'FINANCIAL SUMMARY'!$A$1:$B$50</definedName>
    <definedName name="_xlnm.Print_Area" localSheetId="22">'HABIB METROPOLITAN-FATR'!$A$1:$F$91</definedName>
    <definedName name="_xlnm.Print_Area" localSheetId="23">'HABIBMETROPOLITAN-RF'!$A$1:$K$52</definedName>
    <definedName name="_xlnm.Print_Area" localSheetId="20">'HBL-FATR '!$A$1:$I$92</definedName>
    <definedName name="_xlnm.Print_Area" localSheetId="21">'HBL-RF'!#REF!</definedName>
    <definedName name="_xlnm.Print_Area" localSheetId="4">'INFLOW-OUTFLOW SUMMARY'!$A$1:$AA$44</definedName>
    <definedName name="_xlnm.Print_Area" localSheetId="25">'JS-FATR'!$A$1:$C$92</definedName>
    <definedName name="_xlnm.Print_Area" localSheetId="24">'JS-RF'!#REF!</definedName>
    <definedName name="_xlnm.Print_Area" localSheetId="26">'MCB-FATR'!$A$1:$C$91</definedName>
    <definedName name="_xlnm.Print_Area" localSheetId="28">'MEEZAN-MUSAWAMAH'!$A$1:$K$96</definedName>
    <definedName name="_xlnm.Print_Area" localSheetId="29">'NBP - FATR'!$A$1:$C$93</definedName>
    <definedName name="_xlnm.Print_Area" localSheetId="30">'NBP - RF'!$A$1:$K$49</definedName>
    <definedName name="_xlnm.Print_Area" localSheetId="36">'SAMBA-FATR'!$A$1:$C$92</definedName>
    <definedName name="_xlnm.Print_Area" localSheetId="35">'SAMBA-RF'!$A$1:$E$36</definedName>
    <definedName name="_xlnm.Print_Area" localSheetId="33">'SONERI-FATR'!$A$1:$C$92</definedName>
    <definedName name="_xlnm.Print_Area" localSheetId="34">'SONERI-RF '!$A$1:$E$36</definedName>
    <definedName name="_xlnm.Print_Area" localSheetId="3">'USANCE LC SHEET '!$A$3:$Q$222</definedName>
  </definedNames>
  <calcPr fullCalcOnLoad="1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B8" authorId="0" shapeId="0" xr:uid="{6AA8AEA6-FDC6-4C56-8EA0-DA916F296552}">
      <text>
        <r>
          <rPr>
            <sz val="10"/>
            <color indexed="81"/>
            <rFont val="Calibri"/>
            <family val="2"/>
          </rPr>
          <t>LC Charges: 0.05% Per Quarter &amp; Nil At Retirement</t>
        </r>
      </text>
    </comment>
    <comment ref="C8" authorId="0" shapeId="0" xr:uid="{18F46651-5380-470D-9542-82A1E5F8B200}">
      <text>
        <r>
          <rPr>
            <sz val="10"/>
            <color indexed="81"/>
            <rFont val="Calibri"/>
            <family val="2"/>
          </rPr>
          <t>LC Charges: 0.05% Per Quarter &amp; Nil At Retirement</t>
        </r>
      </text>
    </comment>
    <comment ref="D8" authorId="0" shapeId="0" xr:uid="{1EF01232-E899-4305-A0DF-D688B661ACF9}">
      <text>
        <r>
          <rPr>
            <b/>
            <sz val="9"/>
            <color indexed="81"/>
            <rFont val="Tahoma"/>
            <family val="2"/>
          </rPr>
          <t>LC Charges: 0.05% Per Quarter &amp; Nil At Retirement</t>
        </r>
      </text>
    </comment>
    <comment ref="F8" authorId="0" shapeId="0" xr:uid="{BDA0E019-D14B-4A76-A737-782A72B6AD21}">
      <text>
        <r>
          <rPr>
            <b/>
            <sz val="9"/>
            <color indexed="81"/>
            <rFont val="Tahoma"/>
            <family val="2"/>
          </rPr>
          <t>0.10% Per Quarter Flat (All Inclusive)</t>
        </r>
      </text>
    </comment>
    <comment ref="G8" authorId="0" shapeId="0" xr:uid="{3029DE4F-B6BE-415D-B950-7E1EB433C4F6}">
      <text>
        <r>
          <rPr>
            <sz val="10"/>
            <color indexed="81"/>
            <rFont val="Calibri"/>
            <family val="2"/>
          </rPr>
          <t>LC Charges: 0.10% Per Quarter</t>
        </r>
      </text>
    </comment>
    <comment ref="I8" authorId="0" shapeId="0" xr:uid="{84A5D5E2-CDF6-4C1D-8024-D5E9C8AA4AF3}">
      <text>
        <r>
          <rPr>
            <sz val="10"/>
            <color indexed="81"/>
            <rFont val="Calibri"/>
            <family val="2"/>
          </rPr>
          <t>LC Charges: 0.05% Per Quarter &amp; Nil At Retirement</t>
        </r>
      </text>
    </comment>
    <comment ref="J8" authorId="0" shapeId="0" xr:uid="{0183CAE7-58E5-458C-AF13-3694AFE84D96}">
      <text>
        <r>
          <rPr>
            <sz val="10"/>
            <color indexed="81"/>
            <rFont val="Calibri"/>
            <family val="2"/>
          </rPr>
          <t>LC Charges: 0.05% Per Quarter All Inclusive</t>
        </r>
      </text>
    </comment>
    <comment ref="K8" authorId="0" shapeId="0" xr:uid="{D1228BB9-88CD-4A85-B938-4A5ABF9A3DC0}">
      <text>
        <r>
          <rPr>
            <sz val="10"/>
            <color indexed="81"/>
            <rFont val="Calibri"/>
            <family val="2"/>
          </rPr>
          <t>LC Charges: 0.10% Per Quarter All Inclusive</t>
        </r>
      </text>
    </comment>
    <comment ref="L8" authorId="0" shapeId="0" xr:uid="{77727FD7-2E83-4696-91FC-392581A0A8E7}">
      <text>
        <r>
          <rPr>
            <sz val="10"/>
            <color indexed="81"/>
            <rFont val="Calibri"/>
            <family val="2"/>
          </rPr>
          <t>LC Charges: 0.10% Per Quarter &amp; 0.05% LC Retirement Charges.</t>
        </r>
      </text>
    </comment>
    <comment ref="M8" authorId="0" shapeId="0" xr:uid="{0F782273-8E72-467A-ADCA-587ED54E5668}">
      <text>
        <r>
          <rPr>
            <sz val="10"/>
            <color indexed="81"/>
            <rFont val="Calibri"/>
            <family val="2"/>
          </rPr>
          <t>LC Charges: 0.05% All Inclusive</t>
        </r>
      </text>
    </comment>
    <comment ref="N8" authorId="0" shapeId="0" xr:uid="{3B99160D-FE85-4534-BCE6-A33EA3ED2E34}">
      <text>
        <r>
          <rPr>
            <sz val="10"/>
            <color indexed="81"/>
            <rFont val="Calibri"/>
            <family val="2"/>
          </rPr>
          <t>LC Charges: 0.10% Per Quarter.
Bank's Schedule Of Service Charges Subject To 80% Discount In Ist Quarter &amp; 60% Discount In Subsequent Quarters.</t>
        </r>
      </text>
    </comment>
    <comment ref="O8" authorId="0" shapeId="0" xr:uid="{E81CE3B4-C621-4807-954B-1B28713575D5}">
      <text>
        <r>
          <rPr>
            <sz val="10"/>
            <color indexed="81"/>
            <rFont val="Calibri"/>
            <family val="2"/>
          </rPr>
          <t>LC Charges: 0.10% Per Quarter.
Bank's Schedule Of Service Charges Subject To 80% Discount In Ist Quarter &amp; 60% Discount In Subsequent Quarters.</t>
        </r>
      </text>
    </comment>
    <comment ref="R8" authorId="0" shapeId="0" xr:uid="{8D93C538-03AB-487D-8EBA-3C07A5E02F7F}">
      <text>
        <r>
          <rPr>
            <sz val="10"/>
            <color indexed="81"/>
            <rFont val="Calibri"/>
            <family val="2"/>
          </rPr>
          <t>LC Charges: 0.050% Per Quarter Inclusive Of Retirement &amp; Other Charges.</t>
        </r>
      </text>
    </comment>
    <comment ref="C10" authorId="0" shapeId="0" xr:uid="{9E4CD642-6936-454B-BA2C-4C9C9436E421}">
      <text>
        <r>
          <rPr>
            <sz val="10"/>
            <color indexed="81"/>
            <rFont val="Calibri"/>
            <family val="2"/>
          </rPr>
          <t>Limit Rs.
250,000,000.00</t>
        </r>
      </text>
    </comment>
    <comment ref="D10" authorId="0" shapeId="0" xr:uid="{E15B0F02-047C-479A-9C68-0A1D6663B6A7}">
      <text>
        <r>
          <rPr>
            <b/>
            <sz val="9"/>
            <color indexed="81"/>
            <rFont val="Tahoma"/>
            <family val="2"/>
          </rPr>
          <t>Limit Rs.
200,000,000.00</t>
        </r>
      </text>
    </comment>
    <comment ref="F10" authorId="0" shapeId="0" xr:uid="{661B845E-BEB8-4514-82C4-FFA79038368A}">
      <text>
        <r>
          <rPr>
            <b/>
            <sz val="9"/>
            <color indexed="81"/>
            <rFont val="Tahoma"/>
            <family val="2"/>
          </rPr>
          <t>Limit Rs.
100,000,000.00</t>
        </r>
      </text>
    </comment>
    <comment ref="G10" authorId="0" shapeId="0" xr:uid="{8954DB99-35DC-4258-9236-F9A2F9C98C79}">
      <text>
        <r>
          <rPr>
            <sz val="10"/>
            <color indexed="81"/>
            <rFont val="Calibri"/>
            <family val="2"/>
          </rPr>
          <t>Limit Rs. 
250,000,000.00
Opening Commission: 0.10 % Per Quarter
Acceptance Commission: 0.10 % Per Quarter</t>
        </r>
      </text>
    </comment>
    <comment ref="J10" authorId="0" shapeId="0" xr:uid="{3193B7C2-A674-49BA-B519-EE55FF70B281}">
      <text>
        <r>
          <rPr>
            <sz val="10"/>
            <color indexed="81"/>
            <rFont val="Calibri"/>
            <family val="2"/>
          </rPr>
          <t>Limit Rs.
300,000,000.00</t>
        </r>
      </text>
    </comment>
    <comment ref="K10" authorId="0" shapeId="0" xr:uid="{E44BFDEB-9CF1-4CD4-A4D8-CA11EE767695}">
      <text>
        <r>
          <rPr>
            <sz val="10"/>
            <color indexed="81"/>
            <rFont val="Calibri"/>
            <family val="2"/>
          </rPr>
          <t>Limit Rs.
200,000,000.00
Parts &amp; Equipment Limit 20,000,000.00</t>
        </r>
      </text>
    </comment>
    <comment ref="L10" authorId="0" shapeId="0" xr:uid="{57CCBD31-0BB5-4EF5-AE73-C36F30BE3673}">
      <text>
        <r>
          <rPr>
            <sz val="10"/>
            <color indexed="81"/>
            <rFont val="Calibri"/>
            <family val="2"/>
          </rPr>
          <t>Limit Rs.
200,000,000.00
Parts &amp; Equipment Limit 20,000,000.00</t>
        </r>
      </text>
    </comment>
    <comment ref="M10" authorId="0" shapeId="0" xr:uid="{286573AB-A7C3-4F16-BD2B-7463988CDF7E}">
      <text>
        <r>
          <rPr>
            <sz val="10"/>
            <color indexed="81"/>
            <rFont val="Calibri"/>
            <family val="2"/>
          </rPr>
          <t>Limit Rs.
200,000,000.00
Parts &amp; Equipment Limit 20,000,000.00</t>
        </r>
      </text>
    </comment>
    <comment ref="N10" authorId="0" shapeId="0" xr:uid="{C7ABCA70-80F3-4453-89A4-546F7B9DCD1C}">
      <text>
        <r>
          <rPr>
            <sz val="10"/>
            <color indexed="81"/>
            <rFont val="Calibri"/>
            <family val="2"/>
          </rPr>
          <t>Limit Rs.
200,000,000.00
Parts &amp; Equipment Limit 20,000,000.00</t>
        </r>
      </text>
    </comment>
    <comment ref="O10" authorId="0" shapeId="0" xr:uid="{9EC1CCFD-2C2E-4E50-9D31-0CAE5C0D3DFF}">
      <text>
        <r>
          <rPr>
            <sz val="10"/>
            <color indexed="81"/>
            <rFont val="Calibri"/>
            <family val="2"/>
          </rPr>
          <t>Limit Rs.
200,000,000.00</t>
        </r>
      </text>
    </comment>
    <comment ref="R10" authorId="0" shapeId="0" xr:uid="{F77532C3-5F48-442B-B616-F37454E47E71}">
      <text>
        <r>
          <rPr>
            <sz val="10"/>
            <color indexed="81"/>
            <rFont val="Calibri"/>
            <family val="2"/>
          </rPr>
          <t xml:space="preserve">Limit Rs.
350,000,000.00
</t>
        </r>
      </text>
    </comment>
    <comment ref="J16" authorId="0" shapeId="0" xr:uid="{05330B44-DFEC-4526-BE80-6B9A0416AE4C}">
      <text>
        <r>
          <rPr>
            <b/>
            <sz val="9"/>
            <color indexed="81"/>
            <rFont val="Tahoma"/>
            <family val="2"/>
          </rPr>
          <t>Usance LC +FATR Should Not Exceed 300.00M.</t>
        </r>
      </text>
    </comment>
    <comment ref="N16" authorId="0" shapeId="0" xr:uid="{6471B209-E712-4AE3-9B9F-B4D28581D08A}">
      <text>
        <r>
          <rPr>
            <b/>
            <sz val="9"/>
            <color indexed="81"/>
            <rFont val="Tahoma"/>
            <family val="2"/>
          </rPr>
          <t>Usance LC +Musawamaha Should Not Exceed 200.00M.</t>
        </r>
      </text>
    </comment>
    <comment ref="O16" authorId="0" shapeId="0" xr:uid="{F2C06BA1-DC79-48E3-BA92-4377C9C57FCB}">
      <text>
        <r>
          <rPr>
            <b/>
            <sz val="9"/>
            <color indexed="81"/>
            <rFont val="Tahoma"/>
            <family val="2"/>
          </rPr>
          <t>Usance LC +Musawamaha Should Not Exceed 200.00M.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330260C7-FA89-4D4C-B262-35D31FECAF72}">
      <text>
        <r>
          <rPr>
            <sz val="9"/>
            <color indexed="81"/>
            <rFont val="Tahoma"/>
            <family val="2"/>
          </rPr>
          <t>3MK+1.00% Of Date Of Creation Of FATR TO Be applied For Whole Period.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0BBDDF05-4F1C-493D-93AA-F8315F4E0686}">
      <text>
        <r>
          <rPr>
            <sz val="9"/>
            <color indexed="81"/>
            <rFont val="Tahoma"/>
            <family val="2"/>
          </rPr>
          <t>RK+1.25% At The Date Of Creation Of FATR TO Be applied For Whole Period.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B84E4BA8-C6A0-4B8E-BD7F-21EC378CB0FA}">
      <text>
        <r>
          <rPr>
            <sz val="10"/>
            <color indexed="81"/>
            <rFont val="Calibri"/>
            <family val="2"/>
          </rPr>
          <t>3 Month KIBOR Of Last Working Day Of Preceding Calendar Quarter To Be Applicable For Whole Quarter (Quarterly Charged).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BCABA149-78C3-4AA1-94F3-880AAB053F2A}">
      <text>
        <r>
          <rPr>
            <sz val="10"/>
            <color indexed="81"/>
            <rFont val="Calibri"/>
            <family val="2"/>
          </rPr>
          <t>3 Month KIBOR + 0.75% on the date of disbursement and will be reset on the first day of each quarter.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275EFA94-939E-4B41-910E-1A20A03B4728}">
      <text>
        <r>
          <rPr>
            <sz val="9"/>
            <color indexed="81"/>
            <rFont val="Tahoma"/>
            <family val="2"/>
          </rPr>
          <t>3MK+0.75% Of Date Of Creation Of FATR TO Be applied and reset on the first day of each quarter.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913C2DC6-3DEA-4D23-9452-81905CD53167}">
      <text>
        <r>
          <rPr>
            <sz val="9"/>
            <color indexed="81"/>
            <rFont val="Tahoma"/>
            <family val="2"/>
          </rPr>
          <t>3MK+0.75% Of Date Of Creation Of FATR TO Be applied and reset on the first day of each quarter.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BEEC9B69-B10B-4387-92F1-03BE6C51472D}">
      <text>
        <r>
          <rPr>
            <sz val="9"/>
            <color indexed="81"/>
            <rFont val="Tahoma"/>
            <family val="2"/>
          </rPr>
          <t>6MK+0.50% To BE Set On Day Of Disbursement, (Charged On Maturity).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9CDF4529-7331-4CF9-9864-FCF8B6384689}">
      <text>
        <r>
          <rPr>
            <sz val="10"/>
            <color indexed="81"/>
            <rFont val="Calibri"/>
            <family val="2"/>
          </rPr>
          <t>KIBOR To Be Reset With Effect From Ist Day Of Each Calendar Month, Using KIBOR Prevailing On Last Working Day Of Preceding Calendar Month (Quarterly Charged).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F57094AB-A029-414A-939E-1913AEEBE37D}">
      <text>
        <r>
          <rPr>
            <sz val="9"/>
            <color indexed="81"/>
            <rFont val="Tahoma"/>
            <family val="2"/>
          </rPr>
          <t xml:space="preserve">3MK+0.50% Of Previous Day Of Creation Rate To Be Applied (For Whole Period) 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3758A21C-3425-40B7-9930-7168D745CA10}">
      <text>
        <r>
          <rPr>
            <sz val="10"/>
            <color indexed="81"/>
            <rFont val="Calibri"/>
            <family val="2"/>
          </rPr>
          <t xml:space="preserve">3 Month KIBOR Of Last Working Day Of Preceding Calendar Quarter To Be Applicable For Whole Quarter (Quarterly Charged).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B84AD292-9C4A-4695-ACA9-C5DFC636097C}">
      <text>
        <r>
          <rPr>
            <sz val="10"/>
            <color indexed="81"/>
            <rFont val="Calibri"/>
            <family val="2"/>
          </rPr>
          <t>6MK+1.00% On Day Of Disbursement, Till Maturity.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E8E4BF9B-A1DA-4B00-A778-E8B244B01201}">
      <text>
        <r>
          <rPr>
            <sz val="10"/>
            <color indexed="81"/>
            <rFont val="Calibri"/>
            <family val="2"/>
          </rPr>
          <t>Rate Prevailing On Ist  Day Of Each Quarter (Quarterly Charged).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080994AC-5C0B-4FE3-B764-941B7ADF5F46}">
      <text>
        <r>
          <rPr>
            <sz val="9"/>
            <color indexed="81"/>
            <rFont val="Tahoma"/>
            <family val="2"/>
          </rPr>
          <t xml:space="preserve">3MK+1.00% At The Date Of Creation Of FATR TO Be applied And Thereafter Reset By Adopting KIBOR Of Ist Day Of Each Quarter.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35299B1E-3BF9-47BE-87EE-F47CA8241C55}">
      <text>
        <r>
          <rPr>
            <sz val="9"/>
            <color indexed="81"/>
            <rFont val="Tahoma"/>
            <family val="2"/>
          </rPr>
          <t>1MK+0.50% To Be Set On The Date Of Disbursement. Reset on First Working Day of Each Month.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B9BEE415-CCBD-4097-87C9-14586E912AD0}">
      <text>
        <r>
          <rPr>
            <sz val="10"/>
            <color indexed="81"/>
            <rFont val="Calibri"/>
            <family val="2"/>
          </rPr>
          <t xml:space="preserve">KIBOR To Be Reset On Ist Working Day Of Each Calendar Month (Quarterly Charged).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772512E1-C1A6-40B9-81ED-9EF5506EFA7C}">
      <text>
        <r>
          <rPr>
            <sz val="10"/>
            <color indexed="81"/>
            <rFont val="Calibri"/>
            <family val="2"/>
          </rPr>
          <t xml:space="preserve">6MK+ 0.75% At The Date Of Disbursement till Maturity. 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6924A15C-DF96-4BFF-90C9-87089BF99CC7}">
      <text>
        <r>
          <rPr>
            <sz val="10"/>
            <color indexed="81"/>
            <rFont val="Calibri"/>
            <family val="2"/>
          </rPr>
          <t xml:space="preserve">3MK+ 1.15% last working day Of Disbursement. Reset on last working day of each quarter. 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C6490AB5-2953-4EDC-ACB0-AD6E353B6D45}">
      <text>
        <r>
          <rPr>
            <sz val="10"/>
            <color indexed="81"/>
            <rFont val="Calibri"/>
            <family val="2"/>
          </rPr>
          <t xml:space="preserve">3MK + 1.15% of Last Working day of disbursement and reset on last working day of each qaurter.
 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D4" authorId="0" shapeId="0" xr:uid="{C667F3FD-C3B3-4C19-B321-5CBFCD192857}">
      <text>
        <r>
          <rPr>
            <b/>
            <sz val="9"/>
            <color indexed="81"/>
            <rFont val="Tahoma"/>
            <family val="2"/>
          </rPr>
          <t>1MK + 1.15% of date of disbursement and rest on last working day of each month. (Monthly Charged).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D4" authorId="0" shapeId="0" xr:uid="{35FA4E91-3775-4A5C-A9E3-1EB7F083F940}">
      <text>
        <r>
          <rPr>
            <b/>
            <sz val="9"/>
            <color indexed="81"/>
            <rFont val="Tahoma"/>
            <family val="2"/>
          </rPr>
          <t>1MK + 1.15% of date of disbursement and rest on last working day of each month. (Monthly Charged).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6226E31A-BCB4-4026-A3F3-1F3CF40DCC0B}">
      <text>
        <r>
          <rPr>
            <sz val="10"/>
            <color indexed="81"/>
            <rFont val="Calibri"/>
            <family val="2"/>
          </rPr>
          <t>6MK+0.75% Prior Day Rate Will Be Used For First Disbursement, Then proceeding day of each month / quarter / Semi -Annualy Change (Quarterly Charged).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5CD9DC37-6299-45D4-B798-7BF3E9352844}">
      <text>
        <r>
          <rPr>
            <sz val="9"/>
            <color indexed="81"/>
            <rFont val="Tahoma"/>
            <family val="2"/>
          </rPr>
          <t>3MK+1.00% Of Same Day Of Disbursement. Later To Be Reset On Ist Working Day Of Each Quarter.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43A0CE58-EF90-4431-A096-00AB3D7DF58A}">
      <text>
        <r>
          <rPr>
            <sz val="10"/>
            <color indexed="81"/>
            <rFont val="Calibri"/>
            <family val="2"/>
          </rPr>
          <t>3MK+0.75% Prior Day Rate Will Be Used For First Disbursement, Then proceeding day of each month / quarter / Semi -Annualy Change (Quarterly Charged)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A6C25CD6-7CB9-4B56-8458-3AE9AE4A8800}">
      <text>
        <r>
          <rPr>
            <sz val="10"/>
            <color indexed="81"/>
            <rFont val="Calibri"/>
            <family val="2"/>
          </rPr>
          <t>1MK+1.00% Prior Day Rate Will Be Used For First Disbursement, Then proceeding day of each month / quarter / Semi -Annualy Change (Quarterly Charged)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EF84C920-25F3-4360-8F75-97DA1D96A384}">
      <text>
        <r>
          <rPr>
            <sz val="10"/>
            <color indexed="81"/>
            <rFont val="Calibri"/>
            <family val="2"/>
          </rPr>
          <t>6MK+0.75% Prior Day Rate Will Be Used For First Disbursement, Then proceeding day of each month / quarter / Semi -Annualy Change (Quarterly Charged).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B4" authorId="0" shapeId="0" xr:uid="{A6D857E5-DDCF-44BE-8E2D-AC67570921B2}">
      <text>
        <r>
          <rPr>
            <b/>
            <sz val="9"/>
            <color indexed="81"/>
            <rFont val="Tahoma"/>
            <family val="2"/>
          </rPr>
          <t>1$ = 156.8 PKR As Per Business Recorder</t>
        </r>
      </text>
    </comment>
    <comment ref="B40" authorId="0" shapeId="0" xr:uid="{5C6D0293-DB13-430E-9836-9704F21CD7B8}">
      <text>
        <r>
          <rPr>
            <b/>
            <sz val="9"/>
            <color indexed="81"/>
            <rFont val="Tahoma"/>
            <family val="2"/>
          </rPr>
          <t>Rate Defined By Bank Alfalah At Date Of Creation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18BD99E0-1882-4343-94AE-24EBA97C852C}">
      <text>
        <r>
          <rPr>
            <sz val="9"/>
            <color indexed="81"/>
            <rFont val="Tahoma"/>
            <family val="2"/>
          </rPr>
          <t>3MK+1.00% Of Previous Day Of Disbursement. Later To Be Reset On Ist Working Day Of Each Calendar Month.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0A14F179-D7E5-4ACA-9CE3-172189477F82}">
      <text>
        <r>
          <rPr>
            <sz val="9"/>
            <color indexed="81"/>
            <rFont val="Tahoma"/>
            <family val="2"/>
          </rPr>
          <t>1MK+0.75% Of Same Day Of Disbursement. Later To Be Reset On Ist Working Day Of Each Calendar Month.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6BBBD7DA-E935-4EDB-ADB5-9BF0F925F926}">
      <text>
        <r>
          <rPr>
            <sz val="10"/>
            <color indexed="81"/>
            <rFont val="Calibri"/>
            <family val="2"/>
          </rPr>
          <t>1 Month KIBOR Of Ist Working Day (Strictly) Of Current Calendar Month To Be Applicable For Whole Month (Quarterly Charged).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387F6984-761B-431A-BD7C-5EC93C16D841}">
      <text>
        <r>
          <rPr>
            <sz val="9"/>
            <color indexed="81"/>
            <rFont val="Tahoma"/>
            <family val="2"/>
          </rPr>
          <t>3MK+1.25% Of Same Day Of Disbursement. Later To Be Reset On Ist Working Day Of Each Quarter.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B344118C-BFE0-44D2-B903-3658AFFFAE5E}">
      <text>
        <r>
          <rPr>
            <sz val="10"/>
            <color indexed="81"/>
            <rFont val="Calibri"/>
            <family val="2"/>
          </rPr>
          <t>3 Month KIBOR Of Last Working Day Of Preceding Calendar Quarter To Be Applicable For Whole Quarter (Quarterly Charged).</t>
        </r>
      </text>
    </comment>
  </commentList>
</comments>
</file>

<file path=xl/sharedStrings.xml><?xml version="1.0" encoding="utf-8"?>
<sst xmlns="http://schemas.openxmlformats.org/spreadsheetml/2006/main" count="1565" uniqueCount="435">
  <si>
    <t>Total</t>
  </si>
  <si>
    <t>Balance</t>
  </si>
  <si>
    <t>Date</t>
  </si>
  <si>
    <t>Statement</t>
  </si>
  <si>
    <t>Adjustments</t>
  </si>
  <si>
    <t>Balance for</t>
  </si>
  <si>
    <t>Rate of</t>
  </si>
  <si>
    <t>Dr.</t>
  </si>
  <si>
    <t>Cr.</t>
  </si>
  <si>
    <t>Valuation</t>
  </si>
  <si>
    <t>Interest</t>
  </si>
  <si>
    <t xml:space="preserve">Bank </t>
  </si>
  <si>
    <t>Rate</t>
  </si>
  <si>
    <t>Bank Of Punjab - RF</t>
  </si>
  <si>
    <t>Total Provision</t>
  </si>
  <si>
    <t>Opening Balance</t>
  </si>
  <si>
    <t>Current Provision</t>
  </si>
  <si>
    <t>Net Provision</t>
  </si>
  <si>
    <t>SETTLEMENT DURING THE MONTH</t>
  </si>
  <si>
    <t>PRINCIPAL AMOUNT:</t>
  </si>
  <si>
    <t>Markup</t>
  </si>
  <si>
    <t>Provision</t>
  </si>
  <si>
    <t>SETTLEMENT:</t>
  </si>
  <si>
    <t>Bank</t>
  </si>
  <si>
    <t>Total Markup</t>
  </si>
  <si>
    <t>Total Financial Cost</t>
  </si>
  <si>
    <t>Manual Adjustment</t>
  </si>
  <si>
    <t>Actual Opening Markup</t>
  </si>
  <si>
    <t>Payment against Opening</t>
  </si>
  <si>
    <t>Total Markup Due</t>
  </si>
  <si>
    <t>Markup Paid</t>
  </si>
  <si>
    <t>Closing Balance</t>
  </si>
  <si>
    <t>Soneri Bank - RF</t>
  </si>
  <si>
    <t>Financial Cost - Soneri Bank (RF)</t>
  </si>
  <si>
    <t>Financial Cost - Soneri Bank (FATR)</t>
  </si>
  <si>
    <t xml:space="preserve">Nimir Resins Limited </t>
  </si>
  <si>
    <t>Financial Cost - JS BANK (RF)</t>
  </si>
  <si>
    <t>Additional Provision Required</t>
  </si>
  <si>
    <t>Bank Of Punjab - FATR</t>
  </si>
  <si>
    <t>JS Bank - FATR</t>
  </si>
  <si>
    <t>JS Bank - RF</t>
  </si>
  <si>
    <t>MCB - FATR</t>
  </si>
  <si>
    <t>MCB - RF</t>
  </si>
  <si>
    <t>Soneri Bank - FATR</t>
  </si>
  <si>
    <t>Opening As Per Books</t>
  </si>
  <si>
    <t>Net Expenses For The Month</t>
  </si>
  <si>
    <t>Payment For The Month</t>
  </si>
  <si>
    <t>HBL-RF</t>
  </si>
  <si>
    <t>HBL-FATR</t>
  </si>
  <si>
    <t>Payment against Opening(Quarterly Charged)</t>
  </si>
  <si>
    <t xml:space="preserve"> </t>
  </si>
  <si>
    <t>Financial Cost - Al-Baraka Bank (ISTISNA)</t>
  </si>
  <si>
    <t>Provision For The Month</t>
  </si>
  <si>
    <t xml:space="preserve">3 Month KIBOR </t>
  </si>
  <si>
    <t>3 Month KIBOR</t>
  </si>
  <si>
    <t>1 Month KIBOR</t>
  </si>
  <si>
    <t>PROVISION AMOUNT:</t>
  </si>
  <si>
    <t>Meezan - FATR</t>
  </si>
  <si>
    <t xml:space="preserve"> Date</t>
  </si>
  <si>
    <t xml:space="preserve">TOTAL </t>
  </si>
  <si>
    <t xml:space="preserve">Total RF Cost </t>
  </si>
  <si>
    <t xml:space="preserve">Total FATR Cost </t>
  </si>
  <si>
    <t xml:space="preserve">Total Financial Cost </t>
  </si>
  <si>
    <t>VALUES IN "PKR"</t>
  </si>
  <si>
    <t>Habib Metropolitan - FATR</t>
  </si>
  <si>
    <t>Habib Metropolitan - RF</t>
  </si>
  <si>
    <t>BOP</t>
  </si>
  <si>
    <t>HBL</t>
  </si>
  <si>
    <t>JS</t>
  </si>
  <si>
    <t>MCB</t>
  </si>
  <si>
    <t>3MK+0.50%</t>
  </si>
  <si>
    <t>PBICL</t>
  </si>
  <si>
    <t>1MK+1.15%</t>
  </si>
  <si>
    <t>SETTLEMENT DURING THE MONTH:</t>
  </si>
  <si>
    <t xml:space="preserve">Financial Summary </t>
  </si>
  <si>
    <t>DESCRIPTION</t>
  </si>
  <si>
    <t>AL-BARAKA</t>
  </si>
  <si>
    <t>MEEZAN</t>
  </si>
  <si>
    <t>SONERI</t>
  </si>
  <si>
    <t>ISTISNA/LC LIMIT</t>
  </si>
  <si>
    <t xml:space="preserve">ISTISNA/LC LIMIT REMAINING </t>
  </si>
  <si>
    <t>RF-LIMIT</t>
  </si>
  <si>
    <t>RF UTILIZED</t>
  </si>
  <si>
    <t>RF LIMIT AVAILABLE</t>
  </si>
  <si>
    <t>NIMIR RESINS LIMITED</t>
  </si>
  <si>
    <t>Mark-Up Paid</t>
  </si>
  <si>
    <t>CONTRACT</t>
  </si>
  <si>
    <t>Bank Alfalah - FATR</t>
  </si>
  <si>
    <t>Bank Alfalah - RF</t>
  </si>
  <si>
    <t>ALFALAH</t>
  </si>
  <si>
    <t>3MK+0.75%</t>
  </si>
  <si>
    <t>HMBL</t>
  </si>
  <si>
    <t>Mark-Up Rates</t>
  </si>
  <si>
    <t>Nimir Industrial Chemicals Limited</t>
  </si>
  <si>
    <t>PRINCIPAL US$:</t>
  </si>
  <si>
    <t>Exchange Rate</t>
  </si>
  <si>
    <t>INTEREST US$:</t>
  </si>
  <si>
    <t>Interest (LIBOR+SPREAD)</t>
  </si>
  <si>
    <t>INTEREST PROVISION</t>
  </si>
  <si>
    <t>Provision For Mark-Up In US$</t>
  </si>
  <si>
    <t>Closing Exchange Rate</t>
  </si>
  <si>
    <t>Provision For Mark-Up In PKR</t>
  </si>
  <si>
    <t>Net Provision Required</t>
  </si>
  <si>
    <t>Mark-Up Payable - Opening Balance</t>
  </si>
  <si>
    <t>&lt; Pls Change This Figure Every Month</t>
  </si>
  <si>
    <t>Mark-Up Payable - Closing Balance</t>
  </si>
  <si>
    <t>EXCHANGE LOSS ON PRINCIPAL</t>
  </si>
  <si>
    <t>Principal Amount In US$</t>
  </si>
  <si>
    <t>&lt; Pls Change The Link To The Last Row Of Dollar Principal Amount</t>
  </si>
  <si>
    <t>Principal At Closing Exch Rate</t>
  </si>
  <si>
    <t>Outstanding Principal - Original Rate</t>
  </si>
  <si>
    <t>&lt; Pls Change The Formula And Link To The Last Row In The Linked Data</t>
  </si>
  <si>
    <t>Total Exchange Loss/Gain</t>
  </si>
  <si>
    <t>Exchange Loss Provision Already Available (Opening)</t>
  </si>
  <si>
    <t>Adjusted  Rate</t>
  </si>
  <si>
    <t>Exchange Loss - Adjustment On Settlement</t>
  </si>
  <si>
    <t>Net Exchange Loss Provisiion Available</t>
  </si>
  <si>
    <t>Net Exchange Loss Provision To Be provided</t>
  </si>
  <si>
    <t>FX Loss (Gain) Debited On Loans Settled</t>
  </si>
  <si>
    <t>Net Exchange Loss For The Month</t>
  </si>
  <si>
    <t>Loans Settled (Rs) - Original Amount</t>
  </si>
  <si>
    <t>Loans Settled (Rs) - Last Month End</t>
  </si>
  <si>
    <t>Actual Amount Paid</t>
  </si>
  <si>
    <t>Exchange Loss (Gain) - Adjustment</t>
  </si>
  <si>
    <t>Exchange Loss (Gain) - Debited</t>
  </si>
  <si>
    <t>Adjustment For Accounts Purpose</t>
  </si>
  <si>
    <t>Exchange Loss - Last Month End</t>
  </si>
  <si>
    <t>Exchange Loss - Provision For The Month</t>
  </si>
  <si>
    <t>Exchange Loss - Current Month End</t>
  </si>
  <si>
    <t>FATR/FE-25/ISTISNA/MUSAWAMAH LIMIT REMAINING</t>
  </si>
  <si>
    <t>PRINCIPAL ADJUSTMNET</t>
  </si>
  <si>
    <t>DATE</t>
  </si>
  <si>
    <t>INFLOW</t>
  </si>
  <si>
    <t>OUTFLOW</t>
  </si>
  <si>
    <t>Balance B/F</t>
  </si>
  <si>
    <t>TOTAL</t>
  </si>
  <si>
    <t>FATR/ISTISNA/MUSAWAMAH LIMIT UTILIZED</t>
  </si>
  <si>
    <t>SIGHT LC LIMIT UTILIZED</t>
  </si>
  <si>
    <t>DA/USANCE LC LIMIT UTILIZED</t>
  </si>
  <si>
    <t>FE-25 LIMIT UTILIZED</t>
  </si>
  <si>
    <t>FATR/ISTISNA/MUSAWAMAH LIMIT</t>
  </si>
  <si>
    <t>Outflow Discreption</t>
  </si>
  <si>
    <t xml:space="preserve">Duty Payments </t>
  </si>
  <si>
    <t>Inflow Discreption</t>
  </si>
  <si>
    <t xml:space="preserve">                           CASH INFLOW &amp; OUTFLOW SUMMARY</t>
  </si>
  <si>
    <t xml:space="preserve">                                      NIMIR RESINS LIMITED
</t>
  </si>
  <si>
    <t>Inward Clearing (Debtor CHQs + Cash Sales)</t>
  </si>
  <si>
    <t>Misc</t>
  </si>
  <si>
    <t>RTGS</t>
  </si>
  <si>
    <t>Tax Payments (Income + Sales)</t>
  </si>
  <si>
    <t xml:space="preserve">Utility Bill Payments </t>
  </si>
  <si>
    <t>Lease Payments</t>
  </si>
  <si>
    <t>Financial Cost - Bank Al-Falah (FATR)</t>
  </si>
  <si>
    <t>Financial Cost - Bank Al-Falah (RF)</t>
  </si>
  <si>
    <t>Financial Cost - HBL (FATR)</t>
  </si>
  <si>
    <t>Financial Cost - HBL (RF)</t>
  </si>
  <si>
    <t>Financial Cost - PBICL (RF)</t>
  </si>
  <si>
    <t>Financial Cost - Meezan Bank (MUSAWAMAH)</t>
  </si>
  <si>
    <t>Financial Cost - MCB Bank (RF)</t>
  </si>
  <si>
    <t>Financial Cost - MCB Bank (FATR)</t>
  </si>
  <si>
    <t>Financial Cost - JS Bank (FATR)</t>
  </si>
  <si>
    <t>Financial Cost - BOP (RF)</t>
  </si>
  <si>
    <t>Financial Cost - BOP (FATR)</t>
  </si>
  <si>
    <t>Financial Cost - Bank Al-Falah (FE-25)</t>
  </si>
  <si>
    <t>(Salary + Bonous) Payments</t>
  </si>
  <si>
    <t>Financial Cost - HMBL (FATR)</t>
  </si>
  <si>
    <t>Financial Cost - HMBL (RF)</t>
  </si>
  <si>
    <t>Total Outstanding</t>
  </si>
  <si>
    <t>Bank Rate</t>
  </si>
  <si>
    <t>Rate Of Interest</t>
  </si>
  <si>
    <t>Mark-Up Provision</t>
  </si>
  <si>
    <t>Total Mark-Up Provision</t>
  </si>
  <si>
    <t>Statement Balance</t>
  </si>
  <si>
    <t>Balance For Valuation</t>
  </si>
  <si>
    <t>LC Charges</t>
  </si>
  <si>
    <t>Misc. Charges/Payments</t>
  </si>
  <si>
    <t>1MK+0.75%</t>
  </si>
  <si>
    <t>Mark-Up Rate (1MK+0.75%)</t>
  </si>
  <si>
    <t>3MK+1.00%</t>
  </si>
  <si>
    <t>Mark-Up Rate (3MK+1.00%)</t>
  </si>
  <si>
    <t xml:space="preserve">1 Month KIBOR </t>
  </si>
  <si>
    <t>AVAILABLE BALANCE</t>
  </si>
  <si>
    <t xml:space="preserve">DESCRIPTION </t>
  </si>
  <si>
    <t>USANCE LC O/S</t>
  </si>
  <si>
    <t>USANCE LC VS FATR P/L</t>
  </si>
  <si>
    <t>USANCE LC FOREX G/L</t>
  </si>
  <si>
    <t>FATR/FE-25 LIMIT</t>
  </si>
  <si>
    <t>FATR O/S</t>
  </si>
  <si>
    <t>FE-25 O/S</t>
  </si>
  <si>
    <t>FE-25 VS FATR P/L</t>
  </si>
  <si>
    <t>FE-25 FOREX G/L</t>
  </si>
  <si>
    <t>NET FE-25 BENEFIT</t>
  </si>
  <si>
    <t xml:space="preserve">RF LIMIT </t>
  </si>
  <si>
    <t>LTL O/S</t>
  </si>
  <si>
    <t xml:space="preserve">FINANCIAL COST </t>
  </si>
  <si>
    <t>STOCKS (R+T)</t>
  </si>
  <si>
    <t>STOCKS (F)</t>
  </si>
  <si>
    <t xml:space="preserve">RECEIVABLES </t>
  </si>
  <si>
    <t>INTER BANK OFFER RATE ON 30-04-2020 IN B RECORDER</t>
  </si>
  <si>
    <t>Net Provision For The Month</t>
  </si>
  <si>
    <t>6MK+0.75%</t>
  </si>
  <si>
    <t>Total Long Term Loan Cost</t>
  </si>
  <si>
    <t>Vendor/(Suppliers) Payments</t>
  </si>
  <si>
    <t>3MK</t>
  </si>
  <si>
    <t>Mark-Up Rate (3MK+0.50%)</t>
  </si>
  <si>
    <t>Alfalah</t>
  </si>
  <si>
    <t>NBP</t>
  </si>
  <si>
    <t>Soneri</t>
  </si>
  <si>
    <t xml:space="preserve">NIMIR RESINS LIMITED </t>
  </si>
  <si>
    <t>Advance Payments + Conracts + LCs (S+U) Retirement + Guarantee Payments + Margins Held + TT Payments</t>
  </si>
  <si>
    <t>UTILISED</t>
  </si>
  <si>
    <t>UN-UTILISED</t>
  </si>
  <si>
    <t>BANK ISLAMI</t>
  </si>
  <si>
    <t>Financial Cost - Bank Islami (MURABAHA)</t>
  </si>
  <si>
    <t>6MK+1.25%</t>
  </si>
  <si>
    <t>Bank Islami</t>
  </si>
  <si>
    <t>TL Principal + Mark-Up/RF Mark-Up Payments</t>
  </si>
  <si>
    <t>1 Month KIBOR/ 3MK(Money Market)</t>
  </si>
  <si>
    <t>FATR/FE.25/ ULC Adjustments (Mark-Up + Principal)</t>
  </si>
  <si>
    <t>OVER THE LIMIT &amp; CURRENT ACCOUNT BALANCE</t>
  </si>
  <si>
    <t>Dividend/ WPPF Payment</t>
  </si>
  <si>
    <t>Meezan</t>
  </si>
  <si>
    <t>AlBaraka</t>
  </si>
  <si>
    <t>FATR</t>
  </si>
  <si>
    <t>1MK+0.50%</t>
  </si>
  <si>
    <t>6MK+0.50%</t>
  </si>
  <si>
    <t>Mark-Up Rate (6MK+0.5%)</t>
  </si>
  <si>
    <t>ONE OFF LC LIMIT</t>
  </si>
  <si>
    <t>LC LIMIT</t>
  </si>
  <si>
    <t>TOTAL SIGHT LC O/S</t>
  </si>
  <si>
    <t>TOTAL USANCE LC O/S</t>
  </si>
  <si>
    <t>TOTAL LC L/R</t>
  </si>
  <si>
    <t>TOTAL INFLOW</t>
  </si>
  <si>
    <t>TOTAL OUTFLOW</t>
  </si>
  <si>
    <t>INFLOW FROM DEBTORS</t>
  </si>
  <si>
    <t>NIMIR RESINS LIMITED MATURITY LIST (FATR/FE.25/ISTISNA &amp; USANCE LC)</t>
  </si>
  <si>
    <t xml:space="preserve">Date </t>
  </si>
  <si>
    <t>Description</t>
  </si>
  <si>
    <t>Dollar Rate</t>
  </si>
  <si>
    <t xml:space="preserve">Amount </t>
  </si>
  <si>
    <t>Maturites Due Month-Wise</t>
  </si>
  <si>
    <t xml:space="preserve">FATR </t>
  </si>
  <si>
    <t>Musawamah</t>
  </si>
  <si>
    <t>NOV</t>
  </si>
  <si>
    <t>Istisna</t>
  </si>
  <si>
    <t>DEC</t>
  </si>
  <si>
    <t>JAN</t>
  </si>
  <si>
    <t>FEB</t>
  </si>
  <si>
    <t>MAR</t>
  </si>
  <si>
    <t>FATR + USANCE</t>
  </si>
  <si>
    <t>Murabaha</t>
  </si>
  <si>
    <t>APR</t>
  </si>
  <si>
    <t>3MK+1.25%</t>
  </si>
  <si>
    <t>ASKARI</t>
  </si>
  <si>
    <t>Deal No.</t>
  </si>
  <si>
    <t>BAL</t>
  </si>
  <si>
    <t>30000131</t>
  </si>
  <si>
    <t>30000074</t>
  </si>
  <si>
    <t>30000073</t>
  </si>
  <si>
    <t>30000072</t>
  </si>
  <si>
    <t>30000071</t>
  </si>
  <si>
    <t>30000070</t>
  </si>
  <si>
    <t>30000068</t>
  </si>
  <si>
    <t>30000066</t>
  </si>
  <si>
    <t xml:space="preserve">Deal No. </t>
  </si>
  <si>
    <t>Business Partner</t>
  </si>
  <si>
    <t>Facility</t>
  </si>
  <si>
    <t>Total FATR Amount</t>
  </si>
  <si>
    <t>Total RF Amount</t>
  </si>
  <si>
    <t>Total Long Term Amount</t>
  </si>
  <si>
    <t>Pak Brunei</t>
  </si>
  <si>
    <t>Inflows</t>
  </si>
  <si>
    <t>Outflows</t>
  </si>
  <si>
    <t>Mark-Up Rate (Matching Kibor +0.75%)</t>
  </si>
  <si>
    <t>3 Month KIBOR +0.75%</t>
  </si>
  <si>
    <t>Mark-Up Rate (1MK+0.50%)</t>
  </si>
  <si>
    <t>Mark-Up Rate (Respective Kibor +1.25%)</t>
  </si>
  <si>
    <t>Mark-Up Rate (Respective Kibor +1.15%)</t>
  </si>
  <si>
    <t>Financial Cost - Askari Bank Limited (FATR)</t>
  </si>
  <si>
    <t>Askari Bank - FATR</t>
  </si>
  <si>
    <t>Financial Cost - Allied Bank Limited (FATR)</t>
  </si>
  <si>
    <t>SHEET FOR EX LOSS / FE-25 / FATR</t>
  </si>
  <si>
    <t>DATED</t>
  </si>
  <si>
    <t>BANK</t>
  </si>
  <si>
    <t>B/L DATE</t>
  </si>
  <si>
    <t xml:space="preserve">LC USANCE </t>
  </si>
  <si>
    <t xml:space="preserve">MATURITY </t>
  </si>
  <si>
    <t>CURRENCY</t>
  </si>
  <si>
    <t>PKR LOAN</t>
  </si>
  <si>
    <t>FORWARD COVER</t>
  </si>
  <si>
    <t>DAYS</t>
  </si>
  <si>
    <t>FATR M.UP</t>
  </si>
  <si>
    <t>TOTAL FATR</t>
  </si>
  <si>
    <t>NET GAIN</t>
  </si>
  <si>
    <t>RATE DIFF.</t>
  </si>
  <si>
    <t>EXCHANGE</t>
  </si>
  <si>
    <t>NET PROFIT AFTER ALL</t>
  </si>
  <si>
    <t xml:space="preserve">DAYS </t>
  </si>
  <si>
    <t>USD /CNY</t>
  </si>
  <si>
    <t>BOOKING RATE</t>
  </si>
  <si>
    <t>PER DAY</t>
  </si>
  <si>
    <t>M.UP</t>
  </si>
  <si>
    <t>IN M-UP</t>
  </si>
  <si>
    <t>LOSS</t>
  </si>
  <si>
    <t>LOSS/GAIN</t>
  </si>
  <si>
    <t>ADJUSTMENT</t>
  </si>
  <si>
    <t xml:space="preserve">TOTAL LC LIMIT </t>
  </si>
  <si>
    <t xml:space="preserve">NET USANCE LC GAIN/LOSS </t>
  </si>
  <si>
    <t>Payment against Opening (quarterly paid)</t>
  </si>
  <si>
    <t>ALLIED</t>
  </si>
  <si>
    <t>Financial Cost - NBP (FATR)</t>
  </si>
  <si>
    <t xml:space="preserve">FIGURES IN MILLION </t>
  </si>
  <si>
    <t>NBP - FATR</t>
  </si>
  <si>
    <t>NBP - RF</t>
  </si>
  <si>
    <t>3MK+1.15%</t>
  </si>
  <si>
    <t>Bank Islami - FATR</t>
  </si>
  <si>
    <t>Al-Baraka - FATR</t>
  </si>
  <si>
    <t>Mark-Up Rate (3MK+1.25%)</t>
  </si>
  <si>
    <t>9900000009</t>
  </si>
  <si>
    <t>PT</t>
  </si>
  <si>
    <t>Allied - FATR</t>
  </si>
  <si>
    <t>Mark-Up Rate (1MK+1%)</t>
  </si>
  <si>
    <t>1MK</t>
  </si>
  <si>
    <t>6MK</t>
  </si>
  <si>
    <t>KIBOR</t>
  </si>
  <si>
    <t>(3M Kibor +1.15%)</t>
  </si>
  <si>
    <t xml:space="preserve">JS </t>
  </si>
  <si>
    <t>Askari</t>
  </si>
  <si>
    <t xml:space="preserve">KIBOR RATE </t>
  </si>
  <si>
    <t>FOREX RATE</t>
  </si>
  <si>
    <t>blank</t>
  </si>
  <si>
    <t>CNY</t>
  </si>
  <si>
    <t>BOK</t>
  </si>
  <si>
    <t>Mark-Up Rate (3MK+0.75%)</t>
  </si>
  <si>
    <t>9200000060 </t>
  </si>
  <si>
    <t>Financial Cost - BOK (FATR)</t>
  </si>
  <si>
    <t>Financial Cost - BOK (RF)</t>
  </si>
  <si>
    <t>Albaraka</t>
  </si>
  <si>
    <t xml:space="preserve">Meezan </t>
  </si>
  <si>
    <t>Retire</t>
  </si>
  <si>
    <t>Open</t>
  </si>
  <si>
    <t xml:space="preserve">Albaraka </t>
  </si>
  <si>
    <t>9900000040</t>
  </si>
  <si>
    <t>BP</t>
  </si>
  <si>
    <t>40000038</t>
  </si>
  <si>
    <t xml:space="preserve">Facility </t>
  </si>
  <si>
    <t>30000612</t>
  </si>
  <si>
    <t>BOK - RF</t>
  </si>
  <si>
    <t>BOK - FATR</t>
  </si>
  <si>
    <t>Financial Cost - BIPL (RF)</t>
  </si>
  <si>
    <t>BIPL</t>
  </si>
  <si>
    <t>3MK +1.15%</t>
  </si>
  <si>
    <t>30000634</t>
  </si>
  <si>
    <t>HMPBL</t>
  </si>
  <si>
    <t>Pak Brunai - RF - II</t>
  </si>
  <si>
    <t>Bank Islami - RF</t>
  </si>
  <si>
    <t>Retirement Rate</t>
  </si>
  <si>
    <t>Pak Brunai - RF - I</t>
  </si>
  <si>
    <t>Current Month provision Short (Excess)</t>
  </si>
  <si>
    <t>Previous Month provision Short (Excess)</t>
  </si>
  <si>
    <t>open</t>
  </si>
  <si>
    <t>BARAKA</t>
  </si>
  <si>
    <t>retier</t>
  </si>
  <si>
    <t>retire</t>
  </si>
  <si>
    <t>1MK+1.25%</t>
  </si>
  <si>
    <t>SBL</t>
  </si>
  <si>
    <t>OPEN</t>
  </si>
  <si>
    <t>RETIRE</t>
  </si>
  <si>
    <t>rtire</t>
  </si>
  <si>
    <t>FBL</t>
  </si>
  <si>
    <t>6MK+0.15%</t>
  </si>
  <si>
    <t>Mark-Up Rate (6MK+0.15%)</t>
  </si>
  <si>
    <t>(C.D 15.01.2026, M.D 14.07.2026)</t>
  </si>
  <si>
    <t>MBL</t>
  </si>
  <si>
    <t>LD2601400210
 (C.D 13.01.2026, M.D 12.07.2026)</t>
  </si>
  <si>
    <t>Faysal Bank - FATR</t>
  </si>
  <si>
    <t>(C.D 12.02.2026, M.D 11.08.2026)</t>
  </si>
  <si>
    <t>LD2605100021
C.D 20.02.2026, M.D 19.08.2026)</t>
  </si>
  <si>
    <t>LD2605100017
C.D 20.02.2026, M.D 19.08.2026)</t>
  </si>
  <si>
    <t>LD2603500176
 (C.D 02.02.2026, M.D 01.08.2026)</t>
  </si>
  <si>
    <t>LD2603500175
 (C.D 02.02.2026, M.D 01.08.2026)</t>
  </si>
  <si>
    <t>LD2603310210
(C.D 02.02.2026, M.D 02.06.2026)</t>
  </si>
  <si>
    <t>LD2606500224/27/2931/32
 (C.D 04.03.2026, M.D 31.08.2026)</t>
  </si>
  <si>
    <t>FILFTR00018526PK
(C.D 12.01.2026, M.D 11.07.2026)</t>
  </si>
  <si>
    <t>120FATR00018403
C.D 17.03.2026, M.D 13.09.2026)</t>
  </si>
  <si>
    <t>FILFTR00153326PK
(C.D 11.03.2026, M.D 07.09.2026)</t>
  </si>
  <si>
    <t>FILFTR00190526PK
(C.D 30.03.2026, M.D 26.09.2026)</t>
  </si>
  <si>
    <t>FILFTR00206426PK
(C.D 07.04.2026, M.D 04.10.2026)</t>
  </si>
  <si>
    <t>LD2610000177
 (C.D 08.04.2026, M.D 05.10.2026)</t>
  </si>
  <si>
    <t>LD2610700262
 (C.D 15.04.2026, M.D 12.10.2026)</t>
  </si>
  <si>
    <t>354
(C.D 14.05.2026, M.D 10.11.2026)</t>
  </si>
  <si>
    <t>356
(C.D 19.05.2026, M.D 15.11.2026)</t>
  </si>
  <si>
    <t>357
(C.D 22.05.2026, M.D 18.11.2026)</t>
  </si>
  <si>
    <t>FILFTR00272426PK
(C.D 08.05.2026, M.D 04.11.2026)</t>
  </si>
  <si>
    <t>LD2614000088
C.D 20.05.2026, M.D 16.11.2026</t>
  </si>
  <si>
    <t>LD2614500075
C.D 25.05.2026, M.D 21.11.2026</t>
  </si>
  <si>
    <t>120FATR00018542
C.D 15.05.2026, M.D 11.11.2026)</t>
  </si>
  <si>
    <t>120FATR00018502
C.D 04.05.2026, M.D 31.10.2026)</t>
  </si>
  <si>
    <t>1015
C.D 12.05.2026, M.D 09.09.2026)</t>
  </si>
  <si>
    <t>LD2612800495
 (C.D 07.05.2026, M.D 03.11.2026)</t>
  </si>
  <si>
    <t xml:space="preserve">
(C.D 21.04.2026 M.D 19.08.2026)</t>
  </si>
  <si>
    <t>12.04/1MK</t>
  </si>
  <si>
    <t>12.22/3MK</t>
  </si>
  <si>
    <t>12.48/6MK</t>
  </si>
  <si>
    <t>6MK+1.00%</t>
  </si>
  <si>
    <t xml:space="preserve">
C.D 08.06.2026, M.D 06.10.2026)</t>
  </si>
  <si>
    <t>PRINCIPAL AMOUNT:      300,000,000</t>
  </si>
  <si>
    <t xml:space="preserve">
(C.D 10.06.2026, M.D 07.12.2026)</t>
  </si>
  <si>
    <t>SAMBA</t>
  </si>
  <si>
    <t>1M+1.00%</t>
  </si>
  <si>
    <t>1MK+1.00%</t>
  </si>
  <si>
    <t>1 Month KIBOR +1.00%</t>
  </si>
  <si>
    <t>D#
(C.D 18.06.2026 M.D 16.10.2026)</t>
  </si>
  <si>
    <t xml:space="preserve">
(C.D 23.06.2026, M.D 21.09.2026)</t>
  </si>
  <si>
    <t>LD2616300020
C.D 12.06.2026, M.D 09.12.2026)</t>
  </si>
  <si>
    <t>LD2617300004
C.D 22.06.2026, M.D 19.12.2026)</t>
  </si>
  <si>
    <t>LD2616300020/23/25/26/29/33/36
C.D 12.06.2026, M.D 09.12.2026)</t>
  </si>
  <si>
    <t>LD2618100442
 (C.D 23.06.2026, M.D 20.12.2026)</t>
  </si>
  <si>
    <t>LD2618100443
 (C.D 23.06.2026, M.D 20.12.2026)</t>
  </si>
  <si>
    <t>FILFTR00329126PK
(C.D 03.06.2026, M.D 30.11.2026)</t>
  </si>
  <si>
    <t>FILFTR00362026PK
(C.D 23.06.2026, M.D 20.12.2026)</t>
  </si>
  <si>
    <t>002FATR00207015
(C.D 02.06.2026, M.D 30.09.2026)</t>
  </si>
  <si>
    <t>002FATR00207300
(C.D 11.06.2026, M.D 09.10.2026)</t>
  </si>
  <si>
    <t>002FATR00207445
(C.D 17.06.2026, M.D 15.10.2026)</t>
  </si>
  <si>
    <t>002FATR00207564
(C.D 22.06.2026, M.D 20.10.2026)</t>
  </si>
  <si>
    <t>120FATR00018586
C.D 03.06.2026, M.D 30.11.2026)</t>
  </si>
  <si>
    <t>120FATR00018588
C.D 03.06.2026, M.D 30.11.2026)</t>
  </si>
  <si>
    <t>120FATR00018587
C.D 03.06.2026, M.D 30.11.2026)</t>
  </si>
  <si>
    <t>120FATR00018618
C.D 11.06.2026, M.D 08.12.2026)</t>
  </si>
  <si>
    <t>120FATR00018659
C.D 22.06.2026, M.D 19.12.2026)</t>
  </si>
  <si>
    <t>120FATR00018672
C.D 29.06.2026, M.D 26.12.2026)</t>
  </si>
  <si>
    <t>358
(C.D 04.06.2026, M.D 01.12.2026)</t>
  </si>
  <si>
    <t>SAMBA BANK-FATR</t>
  </si>
  <si>
    <t>SAMBA BANK-RF</t>
  </si>
  <si>
    <t xml:space="preserve">                    July-26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</si>
</sst>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;[Red]\-General_)"/>
    <numFmt numFmtId="166" formatCode="dd/mmm/yy_)"/>
    <numFmt numFmtId="167" formatCode="[$-409]d\-mmm\-yy;@"/>
    <numFmt numFmtId="168" formatCode="0.0000%"/>
    <numFmt numFmtId="169" formatCode="_ [$¥-804]* #,##0.00_ ;_ [$¥-804]* \-#,##0.00_ ;_ [$¥-804]* &quot;-&quot;??_ ;_ @_ "/>
    <numFmt numFmtId="170" formatCode="_(* #,##0_);_(* \(#,##0\);_(* &quot;-&quot;??_);_(@_)"/>
    <numFmt numFmtId="171" formatCode="_(* #,##0.000000_);_(* \(#,##0.000000\);_(* &quot;-&quot;??????_);_(@_)"/>
    <numFmt numFmtId="172" formatCode="0.000000%"/>
    <numFmt numFmtId="173" formatCode="[$-409]d\-mmm\-yyyy;@"/>
    <numFmt numFmtId="174" formatCode="_([$€-2]\ * #,##0.00_);_([$€-2]\ * \(#,##0.00\);_([$€-2]\ * &quot;-&quot;??_);_(@_)"/>
    <numFmt numFmtId="175" formatCode="_([$PKR]\ * #,##0.00_);_([$PKR]\ * \(#,##0.00\);_([$PKR]\ * &quot;-&quot;??_);_(@_)"/>
    <numFmt numFmtId="176" formatCode="[$-F800]dddd\,\ mmmm\ dd\,\ yyyy"/>
    <numFmt numFmtId="177" formatCode="[$-409]dd\-mmm\-yy;@"/>
    <numFmt numFmtId="178" formatCode="_(* #,##0.0000_);_(* \(#,##0.0000\);_(* &quot;-&quot;??_);_(@_)"/>
    <numFmt numFmtId="179" formatCode="#,##0.0000000000_ ;\-#,##0.0000000000\ "/>
  </numFmts>
  <fonts count="74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.8"/>
      <color indexed="12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color indexed="10"/>
      <name val="Calibri"/>
      <family val="2"/>
    </font>
    <font>
      <sz val="8"/>
      <name val="ARIAL"/>
      <family val="2"/>
    </font>
    <font>
      <b/>
      <sz val="10"/>
      <color indexed="3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4"/>
      <color indexed="30"/>
      <name val="Calibri"/>
      <family val="2"/>
    </font>
    <font>
      <b/>
      <sz val="20"/>
      <name val="Calibri"/>
      <family val="2"/>
    </font>
    <font>
      <b/>
      <sz val="16"/>
      <name val="Calibri"/>
      <family val="2"/>
    </font>
    <font>
      <sz val="10"/>
      <color indexed="81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</font>
    <font>
      <b/>
      <sz val="9"/>
      <name val="Calibri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u/>
      <sz val="9"/>
      <color rgb="FFFF0000"/>
      <name val="Arial"/>
      <family val="2"/>
    </font>
    <font>
      <b/>
      <u/>
      <sz val="8"/>
      <color theme="3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.5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B0F0"/>
      <name val="Calibri"/>
      <family val="2"/>
    </font>
    <font>
      <sz val="10"/>
      <color rgb="FF22222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10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9"/>
      <color rgb="FF000080"/>
      <name val="Arial"/>
      <family val="2"/>
    </font>
    <font>
      <sz val="8"/>
      <color rgb="FF222222"/>
      <name val="Century Gothic"/>
      <family val="2"/>
    </font>
    <font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80"/>
      <name val="Arial"/>
      <family val="2"/>
    </font>
    <font>
      <b/>
      <sz val="13.5"/>
      <color rgb="FF00008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80"/>
      <name val="Arial"/>
      <family val="2"/>
    </font>
    <font>
      <sz val="8"/>
      <color rgb="FF000000"/>
      <name val="Arial"/>
      <family val="2"/>
    </font>
    <font>
      <b/>
      <sz val="10"/>
      <color rgb="FFFF0000"/>
      <name val="Calibri"/>
      <family val="2"/>
      <scheme val="minor"/>
    </font>
    <font>
      <b/>
      <sz val="18"/>
      <color rgb="FFFF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3"/>
      <color rgb="FF000000"/>
      <name val="Arial"/>
      <family val="2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  <fill>
      <patternFill patternType="solid">
        <fgColor rgb="FFFFF59D"/>
        <bgColor indexed="64"/>
      </patternFill>
    </fill>
  </fills>
  <borders count="1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7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2">
    <xf numFmtId="0" fontId="0" fillId="0" borderId="0" xfId="0"/>
    <xf numFmtId="0" fontId="6" fillId="2" borderId="0" xfId="0" applyFont="1" applyFill="1"/>
    <xf numFmtId="43" fontId="7" fillId="2" borderId="0" xfId="1" applyFont="1" applyFill="1"/>
    <xf numFmtId="0" fontId="7" fillId="2" borderId="0" xfId="0" applyFont="1" applyFill="1"/>
    <xf numFmtId="166" fontId="7" fillId="2" borderId="0" xfId="0" applyNumberFormat="1" applyFont="1" applyFill="1" applyAlignment="1">
      <alignment horizontal="center"/>
    </xf>
    <xf numFmtId="43" fontId="7" fillId="2" borderId="1" xfId="1" applyFont="1" applyFill="1" applyBorder="1"/>
    <xf numFmtId="167" fontId="7" fillId="2" borderId="2" xfId="0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3" xfId="0" applyFont="1" applyFill="1" applyBorder="1"/>
    <xf numFmtId="0" fontId="6" fillId="3" borderId="4" xfId="0" applyFont="1" applyFill="1" applyBorder="1"/>
    <xf numFmtId="43" fontId="6" fillId="3" borderId="5" xfId="1" applyFont="1" applyFill="1" applyBorder="1"/>
    <xf numFmtId="167" fontId="6" fillId="2" borderId="2" xfId="0" applyNumberFormat="1" applyFont="1" applyFill="1" applyBorder="1"/>
    <xf numFmtId="167" fontId="6" fillId="2" borderId="6" xfId="0" applyNumberFormat="1" applyFont="1" applyFill="1" applyBorder="1"/>
    <xf numFmtId="43" fontId="7" fillId="2" borderId="5" xfId="1" applyFont="1" applyFill="1" applyBorder="1"/>
    <xf numFmtId="43" fontId="7" fillId="2" borderId="1" xfId="1" applyFont="1" applyFill="1" applyBorder="1" applyProtection="1"/>
    <xf numFmtId="10" fontId="7" fillId="2" borderId="7" xfId="11" applyNumberFormat="1" applyFont="1" applyFill="1" applyBorder="1"/>
    <xf numFmtId="10" fontId="7" fillId="2" borderId="8" xfId="11" applyNumberFormat="1" applyFont="1" applyFill="1" applyBorder="1" applyAlignment="1" applyProtection="1">
      <alignment horizontal="center"/>
    </xf>
    <xf numFmtId="39" fontId="7" fillId="2" borderId="9" xfId="0" applyNumberFormat="1" applyFont="1" applyFill="1" applyBorder="1"/>
    <xf numFmtId="10" fontId="7" fillId="2" borderId="7" xfId="1" applyNumberFormat="1" applyFont="1" applyFill="1" applyBorder="1"/>
    <xf numFmtId="39" fontId="6" fillId="4" borderId="2" xfId="0" applyNumberFormat="1" applyFont="1" applyFill="1" applyBorder="1"/>
    <xf numFmtId="0" fontId="7" fillId="3" borderId="10" xfId="0" applyFont="1" applyFill="1" applyBorder="1"/>
    <xf numFmtId="0" fontId="7" fillId="2" borderId="11" xfId="0" applyFont="1" applyFill="1" applyBorder="1"/>
    <xf numFmtId="43" fontId="6" fillId="2" borderId="11" xfId="1" applyFont="1" applyFill="1" applyBorder="1" applyAlignment="1">
      <alignment horizontal="right"/>
    </xf>
    <xf numFmtId="43" fontId="7" fillId="2" borderId="5" xfId="0" applyNumberFormat="1" applyFont="1" applyFill="1" applyBorder="1"/>
    <xf numFmtId="0" fontId="13" fillId="2" borderId="0" xfId="0" applyFont="1" applyFill="1"/>
    <xf numFmtId="165" fontId="12" fillId="2" borderId="0" xfId="0" applyNumberFormat="1" applyFont="1" applyFill="1"/>
    <xf numFmtId="17" fontId="14" fillId="2" borderId="12" xfId="0" applyNumberFormat="1" applyFont="1" applyFill="1" applyBorder="1" applyAlignment="1">
      <alignment horizontal="right"/>
    </xf>
    <xf numFmtId="17" fontId="8" fillId="2" borderId="3" xfId="0" applyNumberFormat="1" applyFont="1" applyFill="1" applyBorder="1" applyAlignment="1">
      <alignment horizontal="right"/>
    </xf>
    <xf numFmtId="167" fontId="6" fillId="5" borderId="6" xfId="0" applyNumberFormat="1" applyFont="1" applyFill="1" applyBorder="1"/>
    <xf numFmtId="43" fontId="6" fillId="5" borderId="5" xfId="1" applyFont="1" applyFill="1" applyBorder="1"/>
    <xf numFmtId="0" fontId="7" fillId="2" borderId="4" xfId="0" applyFont="1" applyFill="1" applyBorder="1"/>
    <xf numFmtId="0" fontId="7" fillId="0" borderId="0" xfId="0" applyFont="1"/>
    <xf numFmtId="43" fontId="13" fillId="2" borderId="0" xfId="0" applyNumberFormat="1" applyFont="1" applyFill="1"/>
    <xf numFmtId="43" fontId="7" fillId="2" borderId="1" xfId="2" applyFont="1" applyFill="1" applyBorder="1"/>
    <xf numFmtId="43" fontId="7" fillId="2" borderId="0" xfId="0" applyNumberFormat="1" applyFont="1" applyFill="1"/>
    <xf numFmtId="43" fontId="7" fillId="2" borderId="13" xfId="1" applyFont="1" applyFill="1" applyBorder="1"/>
    <xf numFmtId="43" fontId="6" fillId="3" borderId="5" xfId="2" applyFont="1" applyFill="1" applyBorder="1"/>
    <xf numFmtId="43" fontId="7" fillId="2" borderId="5" xfId="2" applyFont="1" applyFill="1" applyBorder="1"/>
    <xf numFmtId="43" fontId="6" fillId="5" borderId="5" xfId="2" applyFont="1" applyFill="1" applyBorder="1"/>
    <xf numFmtId="43" fontId="6" fillId="7" borderId="4" xfId="1" applyFont="1" applyFill="1" applyBorder="1"/>
    <xf numFmtId="10" fontId="7" fillId="7" borderId="13" xfId="11" applyNumberFormat="1" applyFont="1" applyFill="1" applyBorder="1"/>
    <xf numFmtId="43" fontId="7" fillId="2" borderId="13" xfId="1" applyFont="1" applyFill="1" applyBorder="1" applyProtection="1"/>
    <xf numFmtId="43" fontId="7" fillId="0" borderId="1" xfId="1" applyFont="1" applyFill="1" applyBorder="1" applyProtection="1"/>
    <xf numFmtId="43" fontId="7" fillId="0" borderId="14" xfId="1" applyFont="1" applyFill="1" applyBorder="1"/>
    <xf numFmtId="43" fontId="7" fillId="0" borderId="5" xfId="1" applyFont="1" applyFill="1" applyBorder="1"/>
    <xf numFmtId="0" fontId="7" fillId="2" borderId="0" xfId="0" applyFont="1" applyFill="1" applyAlignment="1">
      <alignment wrapText="1"/>
    </xf>
    <xf numFmtId="43" fontId="6" fillId="4" borderId="15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/>
    </xf>
    <xf numFmtId="43" fontId="0" fillId="0" borderId="0" xfId="1" applyFont="1"/>
    <xf numFmtId="43" fontId="7" fillId="2" borderId="16" xfId="1" applyFont="1" applyFill="1" applyBorder="1" applyAlignment="1"/>
    <xf numFmtId="14" fontId="6" fillId="4" borderId="15" xfId="1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0" borderId="5" xfId="0" applyBorder="1"/>
    <xf numFmtId="0" fontId="8" fillId="2" borderId="0" xfId="0" applyFont="1" applyFill="1" applyAlignment="1">
      <alignment horizontal="left"/>
    </xf>
    <xf numFmtId="43" fontId="7" fillId="0" borderId="1" xfId="1" applyFont="1" applyFill="1" applyBorder="1"/>
    <xf numFmtId="43" fontId="0" fillId="0" borderId="0" xfId="0" applyNumberFormat="1"/>
    <xf numFmtId="1" fontId="6" fillId="4" borderId="15" xfId="2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7" xfId="0" applyBorder="1"/>
    <xf numFmtId="43" fontId="7" fillId="0" borderId="1" xfId="2" applyFont="1" applyFill="1" applyBorder="1"/>
    <xf numFmtId="14" fontId="7" fillId="2" borderId="0" xfId="0" applyNumberFormat="1" applyFont="1" applyFill="1" applyAlignment="1">
      <alignment wrapText="1"/>
    </xf>
    <xf numFmtId="43" fontId="6" fillId="4" borderId="18" xfId="1" applyFont="1" applyFill="1" applyBorder="1" applyAlignment="1">
      <alignment horizontal="center"/>
    </xf>
    <xf numFmtId="43" fontId="6" fillId="4" borderId="6" xfId="1" applyFont="1" applyFill="1" applyBorder="1" applyAlignment="1">
      <alignment horizontal="centerContinuous"/>
    </xf>
    <xf numFmtId="43" fontId="6" fillId="4" borderId="19" xfId="1" applyFont="1" applyFill="1" applyBorder="1" applyAlignment="1">
      <alignment horizontal="centerContinuous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1" fillId="0" borderId="0" xfId="0" applyFont="1"/>
    <xf numFmtId="0" fontId="8" fillId="0" borderId="3" xfId="0" applyFont="1" applyBorder="1" applyAlignment="1">
      <alignment horizontal="left"/>
    </xf>
    <xf numFmtId="43" fontId="6" fillId="4" borderId="15" xfId="2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vertical="center" wrapText="1"/>
    </xf>
    <xf numFmtId="14" fontId="7" fillId="2" borderId="0" xfId="0" applyNumberFormat="1" applyFont="1" applyFill="1"/>
    <xf numFmtId="14" fontId="7" fillId="0" borderId="0" xfId="0" applyNumberFormat="1" applyFont="1"/>
    <xf numFmtId="43" fontId="7" fillId="2" borderId="0" xfId="2" applyFont="1" applyFill="1" applyBorder="1"/>
    <xf numFmtId="0" fontId="6" fillId="4" borderId="15" xfId="1" applyNumberFormat="1" applyFont="1" applyFill="1" applyBorder="1" applyAlignment="1">
      <alignment horizontal="center" vertical="center" wrapText="1"/>
    </xf>
    <xf numFmtId="1" fontId="6" fillId="4" borderId="15" xfId="1" applyNumberFormat="1" applyFont="1" applyFill="1" applyBorder="1" applyAlignment="1">
      <alignment horizontal="center" vertical="center" wrapText="1"/>
    </xf>
    <xf numFmtId="43" fontId="6" fillId="8" borderId="15" xfId="1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vertical="center" wrapText="1"/>
    </xf>
    <xf numFmtId="4" fontId="0" fillId="0" borderId="0" xfId="0" applyNumberFormat="1"/>
    <xf numFmtId="43" fontId="19" fillId="2" borderId="0" xfId="1" applyFont="1" applyFill="1"/>
    <xf numFmtId="0" fontId="19" fillId="2" borderId="0" xfId="0" applyFont="1" applyFill="1"/>
    <xf numFmtId="0" fontId="13" fillId="9" borderId="0" xfId="0" applyFont="1" applyFill="1"/>
    <xf numFmtId="0" fontId="13" fillId="10" borderId="0" xfId="0" applyFont="1" applyFill="1"/>
    <xf numFmtId="0" fontId="11" fillId="4" borderId="1" xfId="0" applyFont="1" applyFill="1" applyBorder="1" applyAlignment="1">
      <alignment horizontal="center" vertical="center" wrapText="1"/>
    </xf>
    <xf numFmtId="168" fontId="6" fillId="8" borderId="1" xfId="11" applyNumberFormat="1" applyFont="1" applyFill="1" applyBorder="1" applyAlignment="1">
      <alignment horizontal="center" vertical="center"/>
    </xf>
    <xf numFmtId="10" fontId="6" fillId="4" borderId="1" xfId="1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0" fontId="6" fillId="4" borderId="1" xfId="1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0" fontId="6" fillId="4" borderId="1" xfId="12" applyNumberFormat="1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43" fontId="7" fillId="0" borderId="5" xfId="2" applyFont="1" applyFill="1" applyBorder="1"/>
    <xf numFmtId="167" fontId="7" fillId="7" borderId="2" xfId="0" applyNumberFormat="1" applyFont="1" applyFill="1" applyBorder="1" applyAlignment="1">
      <alignment horizontal="center"/>
    </xf>
    <xf numFmtId="43" fontId="6" fillId="7" borderId="5" xfId="1" applyFont="1" applyFill="1" applyBorder="1"/>
    <xf numFmtId="167" fontId="6" fillId="7" borderId="6" xfId="0" applyNumberFormat="1" applyFont="1" applyFill="1" applyBorder="1"/>
    <xf numFmtId="10" fontId="7" fillId="7" borderId="7" xfId="11" applyNumberFormat="1" applyFont="1" applyFill="1" applyBorder="1"/>
    <xf numFmtId="167" fontId="6" fillId="10" borderId="6" xfId="0" applyNumberFormat="1" applyFont="1" applyFill="1" applyBorder="1"/>
    <xf numFmtId="43" fontId="6" fillId="10" borderId="5" xfId="1" applyFont="1" applyFill="1" applyBorder="1"/>
    <xf numFmtId="43" fontId="7" fillId="0" borderId="13" xfId="2" applyFont="1" applyFill="1" applyBorder="1"/>
    <xf numFmtId="14" fontId="29" fillId="0" borderId="0" xfId="0" applyNumberFormat="1" applyFont="1"/>
    <xf numFmtId="0" fontId="29" fillId="0" borderId="0" xfId="0" applyFont="1"/>
    <xf numFmtId="43" fontId="6" fillId="2" borderId="5" xfId="0" applyNumberFormat="1" applyFont="1" applyFill="1" applyBorder="1"/>
    <xf numFmtId="43" fontId="6" fillId="2" borderId="5" xfId="1" applyFont="1" applyFill="1" applyBorder="1"/>
    <xf numFmtId="43" fontId="6" fillId="7" borderId="5" xfId="2" applyFont="1" applyFill="1" applyBorder="1"/>
    <xf numFmtId="0" fontId="6" fillId="7" borderId="0" xfId="0" applyFont="1" applyFill="1" applyAlignment="1">
      <alignment horizontal="center" vertical="center" wrapText="1"/>
    </xf>
    <xf numFmtId="43" fontId="7" fillId="0" borderId="24" xfId="2" applyFont="1" applyFill="1" applyBorder="1"/>
    <xf numFmtId="43" fontId="7" fillId="0" borderId="0" xfId="2" applyFont="1" applyFill="1" applyBorder="1"/>
    <xf numFmtId="43" fontId="6" fillId="7" borderId="1" xfId="2" applyFont="1" applyFill="1" applyBorder="1" applyAlignment="1">
      <alignment horizontal="center" vertical="center" wrapText="1"/>
    </xf>
    <xf numFmtId="43" fontId="7" fillId="0" borderId="5" xfId="0" applyNumberFormat="1" applyFont="1" applyBorder="1"/>
    <xf numFmtId="43" fontId="7" fillId="0" borderId="0" xfId="0" applyNumberFormat="1" applyFont="1"/>
    <xf numFmtId="43" fontId="7" fillId="0" borderId="0" xfId="1" applyFont="1" applyFill="1"/>
    <xf numFmtId="43" fontId="0" fillId="0" borderId="0" xfId="1" applyFont="1" applyBorder="1"/>
    <xf numFmtId="39" fontId="6" fillId="4" borderId="1" xfId="0" applyNumberFormat="1" applyFont="1" applyFill="1" applyBorder="1"/>
    <xf numFmtId="43" fontId="7" fillId="2" borderId="0" xfId="2" applyFont="1" applyFill="1"/>
    <xf numFmtId="43" fontId="7" fillId="2" borderId="3" xfId="2" applyFont="1" applyFill="1" applyBorder="1"/>
    <xf numFmtId="0" fontId="9" fillId="11" borderId="0" xfId="0" applyFont="1" applyFill="1"/>
    <xf numFmtId="0" fontId="6" fillId="4" borderId="18" xfId="0" applyFont="1" applyFill="1" applyBorder="1" applyAlignment="1">
      <alignment horizontal="center"/>
    </xf>
    <xf numFmtId="43" fontId="20" fillId="4" borderId="18" xfId="2" applyFont="1" applyFill="1" applyBorder="1" applyAlignment="1">
      <alignment horizontal="center"/>
    </xf>
    <xf numFmtId="170" fontId="20" fillId="4" borderId="1" xfId="2" applyNumberFormat="1" applyFont="1" applyFill="1" applyBorder="1" applyAlignment="1">
      <alignment horizontal="center"/>
    </xf>
    <xf numFmtId="167" fontId="7" fillId="2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43" fontId="20" fillId="6" borderId="1" xfId="2" applyFont="1" applyFill="1" applyBorder="1" applyAlignment="1">
      <alignment horizontal="center"/>
    </xf>
    <xf numFmtId="10" fontId="20" fillId="6" borderId="1" xfId="12" applyNumberFormat="1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170" fontId="20" fillId="4" borderId="14" xfId="2" applyNumberFormat="1" applyFont="1" applyFill="1" applyBorder="1" applyAlignment="1">
      <alignment horizontal="center"/>
    </xf>
    <xf numFmtId="43" fontId="20" fillId="4" borderId="14" xfId="2" applyFont="1" applyFill="1" applyBorder="1" applyAlignment="1">
      <alignment horizontal="center"/>
    </xf>
    <xf numFmtId="0" fontId="7" fillId="2" borderId="5" xfId="0" applyFont="1" applyFill="1" applyBorder="1"/>
    <xf numFmtId="0" fontId="6" fillId="5" borderId="5" xfId="0" applyFont="1" applyFill="1" applyBorder="1"/>
    <xf numFmtId="43" fontId="7" fillId="5" borderId="5" xfId="2" applyFont="1" applyFill="1" applyBorder="1"/>
    <xf numFmtId="0" fontId="30" fillId="2" borderId="0" xfId="0" applyFont="1" applyFill="1"/>
    <xf numFmtId="43" fontId="6" fillId="2" borderId="5" xfId="2" applyFont="1" applyFill="1" applyBorder="1"/>
    <xf numFmtId="167" fontId="7" fillId="2" borderId="6" xfId="0" applyNumberFormat="1" applyFont="1" applyFill="1" applyBorder="1"/>
    <xf numFmtId="0" fontId="6" fillId="2" borderId="5" xfId="0" applyFont="1" applyFill="1" applyBorder="1"/>
    <xf numFmtId="0" fontId="31" fillId="0" borderId="0" xfId="0" applyFont="1"/>
    <xf numFmtId="0" fontId="6" fillId="0" borderId="0" xfId="0" applyFont="1"/>
    <xf numFmtId="0" fontId="32" fillId="0" borderId="0" xfId="6" applyFont="1" applyFill="1" applyAlignment="1" applyProtection="1"/>
    <xf numFmtId="0" fontId="33" fillId="0" borderId="0" xfId="6" applyFont="1" applyFill="1" applyAlignment="1" applyProtection="1"/>
    <xf numFmtId="0" fontId="6" fillId="2" borderId="4" xfId="0" applyFont="1" applyFill="1" applyBorder="1"/>
    <xf numFmtId="43" fontId="6" fillId="2" borderId="11" xfId="0" applyNumberFormat="1" applyFont="1" applyFill="1" applyBorder="1"/>
    <xf numFmtId="43" fontId="6" fillId="2" borderId="10" xfId="0" applyNumberFormat="1" applyFont="1" applyFill="1" applyBorder="1"/>
    <xf numFmtId="43" fontId="6" fillId="0" borderId="0" xfId="0" applyNumberFormat="1" applyFont="1"/>
    <xf numFmtId="170" fontId="6" fillId="0" borderId="0" xfId="2" applyNumberFormat="1" applyFont="1" applyFill="1"/>
    <xf numFmtId="170" fontId="6" fillId="0" borderId="0" xfId="2" applyNumberFormat="1" applyFont="1" applyFill="1" applyBorder="1"/>
    <xf numFmtId="0" fontId="6" fillId="12" borderId="5" xfId="0" applyFont="1" applyFill="1" applyBorder="1"/>
    <xf numFmtId="0" fontId="7" fillId="10" borderId="4" xfId="0" applyFont="1" applyFill="1" applyBorder="1"/>
    <xf numFmtId="0" fontId="7" fillId="10" borderId="11" xfId="0" applyFont="1" applyFill="1" applyBorder="1"/>
    <xf numFmtId="43" fontId="7" fillId="10" borderId="5" xfId="2" applyFont="1" applyFill="1" applyBorder="1"/>
    <xf numFmtId="0" fontId="6" fillId="2" borderId="11" xfId="0" applyFont="1" applyFill="1" applyBorder="1"/>
    <xf numFmtId="43" fontId="6" fillId="2" borderId="0" xfId="0" applyNumberFormat="1" applyFont="1" applyFill="1"/>
    <xf numFmtId="43" fontId="6" fillId="2" borderId="0" xfId="2" applyFont="1" applyFill="1" applyBorder="1"/>
    <xf numFmtId="0" fontId="6" fillId="10" borderId="5" xfId="0" applyFont="1" applyFill="1" applyBorder="1"/>
    <xf numFmtId="43" fontId="6" fillId="10" borderId="5" xfId="0" applyNumberFormat="1" applyFont="1" applyFill="1" applyBorder="1"/>
    <xf numFmtId="43" fontId="6" fillId="10" borderId="5" xfId="2" applyFont="1" applyFill="1" applyBorder="1"/>
    <xf numFmtId="43" fontId="7" fillId="11" borderId="25" xfId="2" applyFont="1" applyFill="1" applyBorder="1"/>
    <xf numFmtId="0" fontId="6" fillId="5" borderId="11" xfId="0" applyFont="1" applyFill="1" applyBorder="1"/>
    <xf numFmtId="43" fontId="7" fillId="5" borderId="11" xfId="2" applyFont="1" applyFill="1" applyBorder="1"/>
    <xf numFmtId="43" fontId="7" fillId="5" borderId="10" xfId="2" applyFont="1" applyFill="1" applyBorder="1"/>
    <xf numFmtId="43" fontId="7" fillId="2" borderId="11" xfId="2" applyFont="1" applyFill="1" applyBorder="1"/>
    <xf numFmtId="43" fontId="7" fillId="2" borderId="10" xfId="2" applyFont="1" applyFill="1" applyBorder="1"/>
    <xf numFmtId="43" fontId="7" fillId="13" borderId="1" xfId="2" applyFont="1" applyFill="1" applyBorder="1"/>
    <xf numFmtId="43" fontId="6" fillId="14" borderId="2" xfId="2" applyFont="1" applyFill="1" applyBorder="1" applyAlignment="1" applyProtection="1"/>
    <xf numFmtId="170" fontId="6" fillId="0" borderId="5" xfId="2" applyNumberFormat="1" applyFont="1" applyFill="1" applyBorder="1"/>
    <xf numFmtId="0" fontId="6" fillId="0" borderId="26" xfId="0" applyFont="1" applyBorder="1"/>
    <xf numFmtId="170" fontId="31" fillId="0" borderId="26" xfId="2" applyNumberFormat="1" applyFont="1" applyFill="1" applyBorder="1"/>
    <xf numFmtId="0" fontId="6" fillId="13" borderId="5" xfId="0" applyFont="1" applyFill="1" applyBorder="1"/>
    <xf numFmtId="170" fontId="31" fillId="0" borderId="0" xfId="2" applyNumberFormat="1" applyFont="1" applyFill="1" applyBorder="1"/>
    <xf numFmtId="170" fontId="28" fillId="10" borderId="26" xfId="2" applyNumberFormat="1" applyFont="1" applyFill="1" applyBorder="1" applyAlignment="1">
      <alignment horizontal="center" vertical="center"/>
    </xf>
    <xf numFmtId="43" fontId="34" fillId="10" borderId="26" xfId="2" applyFont="1" applyFill="1" applyBorder="1" applyAlignment="1">
      <alignment horizontal="center" vertical="center"/>
    </xf>
    <xf numFmtId="170" fontId="29" fillId="0" borderId="27" xfId="2" applyNumberFormat="1" applyFont="1" applyBorder="1" applyAlignment="1">
      <alignment vertical="center"/>
    </xf>
    <xf numFmtId="170" fontId="35" fillId="0" borderId="26" xfId="2" applyNumberFormat="1" applyFont="1" applyBorder="1" applyAlignment="1">
      <alignment vertical="center"/>
    </xf>
    <xf numFmtId="0" fontId="5" fillId="0" borderId="0" xfId="7"/>
    <xf numFmtId="15" fontId="27" fillId="0" borderId="27" xfId="7" applyNumberFormat="1" applyFont="1" applyBorder="1" applyAlignment="1">
      <alignment horizontal="center" vertical="center"/>
    </xf>
    <xf numFmtId="15" fontId="35" fillId="0" borderId="28" xfId="7" applyNumberFormat="1" applyFont="1" applyBorder="1" applyAlignment="1">
      <alignment horizontal="center" vertical="center"/>
    </xf>
    <xf numFmtId="0" fontId="34" fillId="0" borderId="29" xfId="7" applyFont="1" applyBorder="1" applyAlignment="1">
      <alignment horizontal="center" vertical="center"/>
    </xf>
    <xf numFmtId="0" fontId="34" fillId="0" borderId="29" xfId="7" applyFont="1" applyBorder="1" applyAlignment="1">
      <alignment horizontal="center" vertical="center" wrapText="1"/>
    </xf>
    <xf numFmtId="0" fontId="34" fillId="0" borderId="30" xfId="7" applyFont="1" applyBorder="1" applyAlignment="1">
      <alignment horizontal="center" vertical="center" wrapText="1"/>
    </xf>
    <xf numFmtId="0" fontId="36" fillId="0" borderId="3" xfId="7" applyFont="1" applyBorder="1" applyAlignment="1">
      <alignment horizontal="center" vertical="center"/>
    </xf>
    <xf numFmtId="43" fontId="37" fillId="0" borderId="26" xfId="1" applyFont="1" applyBorder="1"/>
    <xf numFmtId="43" fontId="38" fillId="0" borderId="31" xfId="1" applyFont="1" applyBorder="1"/>
    <xf numFmtId="43" fontId="38" fillId="0" borderId="27" xfId="1" applyFont="1" applyBorder="1"/>
    <xf numFmtId="43" fontId="37" fillId="0" borderId="32" xfId="1" applyFont="1" applyBorder="1"/>
    <xf numFmtId="43" fontId="38" fillId="0" borderId="33" xfId="1" applyFont="1" applyBorder="1"/>
    <xf numFmtId="43" fontId="38" fillId="0" borderId="34" xfId="1" applyFont="1" applyBorder="1"/>
    <xf numFmtId="43" fontId="36" fillId="0" borderId="26" xfId="7" applyNumberFormat="1" applyFont="1" applyBorder="1"/>
    <xf numFmtId="43" fontId="29" fillId="0" borderId="26" xfId="2" applyFont="1" applyBorder="1" applyAlignment="1">
      <alignment vertical="center"/>
    </xf>
    <xf numFmtId="171" fontId="6" fillId="15" borderId="1" xfId="2" applyNumberFormat="1" applyFont="1" applyFill="1" applyBorder="1" applyAlignment="1">
      <alignment horizontal="center" vertical="center"/>
    </xf>
    <xf numFmtId="172" fontId="6" fillId="10" borderId="35" xfId="0" applyNumberFormat="1" applyFont="1" applyFill="1" applyBorder="1" applyAlignment="1">
      <alignment horizontal="center"/>
    </xf>
    <xf numFmtId="43" fontId="38" fillId="0" borderId="36" xfId="1" applyFont="1" applyBorder="1"/>
    <xf numFmtId="14" fontId="0" fillId="0" borderId="0" xfId="0" applyNumberFormat="1"/>
    <xf numFmtId="168" fontId="6" fillId="0" borderId="1" xfId="11" applyNumberFormat="1" applyFont="1" applyFill="1" applyBorder="1" applyAlignment="1">
      <alignment horizontal="center" vertical="center"/>
    </xf>
    <xf numFmtId="43" fontId="6" fillId="0" borderId="5" xfId="1" applyFont="1" applyFill="1" applyBorder="1"/>
    <xf numFmtId="0" fontId="8" fillId="0" borderId="0" xfId="0" applyFont="1" applyAlignment="1">
      <alignment horizontal="left"/>
    </xf>
    <xf numFmtId="43" fontId="7" fillId="0" borderId="16" xfId="1" applyFont="1" applyFill="1" applyBorder="1" applyAlignment="1"/>
    <xf numFmtId="43" fontId="6" fillId="0" borderId="15" xfId="1" applyFont="1" applyFill="1" applyBorder="1" applyAlignment="1">
      <alignment horizontal="center" vertical="center" wrapText="1"/>
    </xf>
    <xf numFmtId="43" fontId="7" fillId="0" borderId="0" xfId="2" applyFont="1" applyFill="1"/>
    <xf numFmtId="43" fontId="7" fillId="0" borderId="3" xfId="2" applyFont="1" applyFill="1" applyBorder="1"/>
    <xf numFmtId="43" fontId="20" fillId="0" borderId="18" xfId="2" applyFont="1" applyFill="1" applyBorder="1" applyAlignment="1">
      <alignment horizontal="center"/>
    </xf>
    <xf numFmtId="170" fontId="20" fillId="0" borderId="1" xfId="2" applyNumberFormat="1" applyFont="1" applyFill="1" applyBorder="1" applyAlignment="1">
      <alignment horizontal="center"/>
    </xf>
    <xf numFmtId="43" fontId="20" fillId="0" borderId="1" xfId="2" applyFont="1" applyFill="1" applyBorder="1" applyAlignment="1">
      <alignment horizontal="center"/>
    </xf>
    <xf numFmtId="10" fontId="20" fillId="0" borderId="1" xfId="12" applyNumberFormat="1" applyFont="1" applyFill="1" applyBorder="1" applyAlignment="1">
      <alignment horizontal="center"/>
    </xf>
    <xf numFmtId="170" fontId="20" fillId="0" borderId="14" xfId="2" applyNumberFormat="1" applyFont="1" applyFill="1" applyBorder="1" applyAlignment="1">
      <alignment horizontal="center"/>
    </xf>
    <xf numFmtId="43" fontId="6" fillId="0" borderId="5" xfId="2" applyFont="1" applyFill="1" applyBorder="1"/>
    <xf numFmtId="43" fontId="6" fillId="0" borderId="5" xfId="0" applyNumberFormat="1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37" xfId="0" applyFont="1" applyBorder="1"/>
    <xf numFmtId="43" fontId="7" fillId="0" borderId="10" xfId="2" applyFont="1" applyFill="1" applyBorder="1"/>
    <xf numFmtId="0" fontId="7" fillId="0" borderId="11" xfId="0" applyFont="1" applyBorder="1"/>
    <xf numFmtId="43" fontId="29" fillId="0" borderId="0" xfId="1" applyFont="1"/>
    <xf numFmtId="43" fontId="6" fillId="2" borderId="4" xfId="1" applyFont="1" applyFill="1" applyBorder="1" applyAlignment="1">
      <alignment horizontal="right"/>
    </xf>
    <xf numFmtId="43" fontId="7" fillId="2" borderId="4" xfId="0" applyNumberFormat="1" applyFont="1" applyFill="1" applyBorder="1"/>
    <xf numFmtId="43" fontId="39" fillId="0" borderId="4" xfId="1" applyFont="1" applyFill="1" applyBorder="1"/>
    <xf numFmtId="43" fontId="6" fillId="5" borderId="38" xfId="0" applyNumberFormat="1" applyFont="1" applyFill="1" applyBorder="1"/>
    <xf numFmtId="0" fontId="7" fillId="0" borderId="39" xfId="0" applyFont="1" applyBorder="1"/>
    <xf numFmtId="43" fontId="6" fillId="7" borderId="17" xfId="0" applyNumberFormat="1" applyFont="1" applyFill="1" applyBorder="1"/>
    <xf numFmtId="43" fontId="6" fillId="7" borderId="4" xfId="0" applyNumberFormat="1" applyFont="1" applyFill="1" applyBorder="1"/>
    <xf numFmtId="43" fontId="7" fillId="2" borderId="4" xfId="1" applyFont="1" applyFill="1" applyBorder="1"/>
    <xf numFmtId="0" fontId="38" fillId="0" borderId="0" xfId="0" applyFont="1"/>
    <xf numFmtId="0" fontId="7" fillId="0" borderId="5" xfId="0" applyFont="1" applyBorder="1"/>
    <xf numFmtId="176" fontId="6" fillId="13" borderId="5" xfId="0" applyNumberFormat="1" applyFont="1" applyFill="1" applyBorder="1"/>
    <xf numFmtId="167" fontId="7" fillId="10" borderId="2" xfId="0" applyNumberFormat="1" applyFont="1" applyFill="1" applyBorder="1" applyAlignment="1">
      <alignment horizontal="center"/>
    </xf>
    <xf numFmtId="43" fontId="7" fillId="10" borderId="1" xfId="2" applyFont="1" applyFill="1" applyBorder="1"/>
    <xf numFmtId="0" fontId="1" fillId="0" borderId="0" xfId="0" applyFont="1" applyAlignment="1">
      <alignment vertical="center"/>
    </xf>
    <xf numFmtId="0" fontId="7" fillId="2" borderId="10" xfId="0" applyFont="1" applyFill="1" applyBorder="1"/>
    <xf numFmtId="0" fontId="6" fillId="5" borderId="40" xfId="0" applyFont="1" applyFill="1" applyBorder="1"/>
    <xf numFmtId="0" fontId="6" fillId="7" borderId="10" xfId="0" applyFont="1" applyFill="1" applyBorder="1"/>
    <xf numFmtId="43" fontId="8" fillId="2" borderId="0" xfId="0" applyNumberFormat="1" applyFont="1" applyFill="1"/>
    <xf numFmtId="0" fontId="8" fillId="0" borderId="0" xfId="0" applyFont="1" applyAlignment="1">
      <alignment horizontal="center"/>
    </xf>
    <xf numFmtId="43" fontId="6" fillId="2" borderId="4" xfId="2" applyFont="1" applyFill="1" applyBorder="1"/>
    <xf numFmtId="0" fontId="13" fillId="16" borderId="0" xfId="0" applyFont="1" applyFill="1"/>
    <xf numFmtId="0" fontId="9" fillId="0" borderId="0" xfId="1" applyNumberFormat="1" applyFont="1" applyFill="1" applyBorder="1" applyAlignment="1"/>
    <xf numFmtId="43" fontId="38" fillId="0" borderId="41" xfId="1" applyFont="1" applyBorder="1"/>
    <xf numFmtId="0" fontId="7" fillId="11" borderId="11" xfId="0" applyFont="1" applyFill="1" applyBorder="1"/>
    <xf numFmtId="43" fontId="5" fillId="0" borderId="0" xfId="7" applyNumberFormat="1"/>
    <xf numFmtId="43" fontId="5" fillId="0" borderId="0" xfId="1" applyFont="1"/>
    <xf numFmtId="43" fontId="5" fillId="0" borderId="0" xfId="1" applyFont="1" applyBorder="1"/>
    <xf numFmtId="43" fontId="40" fillId="0" borderId="4" xfId="1" applyFont="1" applyBorder="1"/>
    <xf numFmtId="43" fontId="38" fillId="0" borderId="0" xfId="1" applyFont="1" applyFill="1"/>
    <xf numFmtId="43" fontId="38" fillId="0" borderId="0" xfId="1" applyFont="1"/>
    <xf numFmtId="10" fontId="7" fillId="0" borderId="5" xfId="1" applyNumberFormat="1" applyFont="1" applyFill="1" applyBorder="1"/>
    <xf numFmtId="0" fontId="9" fillId="0" borderId="0" xfId="0" applyFont="1"/>
    <xf numFmtId="10" fontId="7" fillId="0" borderId="0" xfId="1" applyNumberFormat="1" applyFont="1" applyFill="1" applyBorder="1"/>
    <xf numFmtId="43" fontId="7" fillId="0" borderId="0" xfId="1" applyFont="1" applyFill="1" applyBorder="1"/>
    <xf numFmtId="39" fontId="6" fillId="4" borderId="13" xfId="0" applyNumberFormat="1" applyFont="1" applyFill="1" applyBorder="1"/>
    <xf numFmtId="43" fontId="38" fillId="0" borderId="33" xfId="1" applyFont="1" applyFill="1" applyBorder="1"/>
    <xf numFmtId="43" fontId="38" fillId="0" borderId="42" xfId="1" applyFont="1" applyFill="1" applyBorder="1"/>
    <xf numFmtId="43" fontId="38" fillId="0" borderId="34" xfId="1" applyFont="1" applyFill="1" applyBorder="1"/>
    <xf numFmtId="39" fontId="7" fillId="2" borderId="0" xfId="0" applyNumberFormat="1" applyFont="1" applyFill="1"/>
    <xf numFmtId="0" fontId="0" fillId="0" borderId="0" xfId="0" applyAlignment="1">
      <alignment horizontal="left" vertical="center"/>
    </xf>
    <xf numFmtId="0" fontId="41" fillId="2" borderId="0" xfId="0" applyFont="1" applyFill="1"/>
    <xf numFmtId="0" fontId="41" fillId="0" borderId="0" xfId="0" applyFont="1"/>
    <xf numFmtId="43" fontId="38" fillId="0" borderId="43" xfId="1" applyFont="1" applyFill="1" applyBorder="1"/>
    <xf numFmtId="164" fontId="7" fillId="2" borderId="0" xfId="0" applyNumberFormat="1" applyFont="1" applyFill="1"/>
    <xf numFmtId="164" fontId="0" fillId="0" borderId="0" xfId="0" applyNumberFormat="1"/>
    <xf numFmtId="164" fontId="7" fillId="0" borderId="0" xfId="0" applyNumberFormat="1" applyFont="1"/>
    <xf numFmtId="43" fontId="7" fillId="0" borderId="0" xfId="1" applyFont="1" applyFill="1" applyBorder="1" applyProtection="1"/>
    <xf numFmtId="43" fontId="42" fillId="0" borderId="0" xfId="2" applyFont="1" applyFill="1" applyBorder="1"/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3" fontId="44" fillId="0" borderId="0" xfId="3" applyFont="1" applyFill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43" fontId="45" fillId="0" borderId="0" xfId="3" applyFont="1" applyFill="1" applyAlignment="1">
      <alignment horizontal="center"/>
    </xf>
    <xf numFmtId="0" fontId="46" fillId="0" borderId="0" xfId="0" applyFont="1" applyAlignment="1">
      <alignment horizontal="center"/>
    </xf>
    <xf numFmtId="43" fontId="47" fillId="0" borderId="0" xfId="3" applyFont="1" applyFill="1" applyAlignment="1">
      <alignment horizontal="center"/>
    </xf>
    <xf numFmtId="0" fontId="48" fillId="0" borderId="0" xfId="0" applyFont="1"/>
    <xf numFmtId="43" fontId="48" fillId="0" borderId="0" xfId="3" applyFont="1" applyFill="1"/>
    <xf numFmtId="0" fontId="49" fillId="0" borderId="44" xfId="0" applyFont="1" applyBorder="1"/>
    <xf numFmtId="0" fontId="49" fillId="0" borderId="45" xfId="0" applyFont="1" applyBorder="1"/>
    <xf numFmtId="0" fontId="37" fillId="0" borderId="45" xfId="0" applyFont="1" applyBorder="1"/>
    <xf numFmtId="43" fontId="37" fillId="0" borderId="45" xfId="3" applyFont="1" applyFill="1" applyBorder="1"/>
    <xf numFmtId="0" fontId="38" fillId="0" borderId="44" xfId="0" applyFont="1" applyBorder="1"/>
    <xf numFmtId="0" fontId="38" fillId="0" borderId="45" xfId="0" applyFont="1" applyBorder="1"/>
    <xf numFmtId="43" fontId="38" fillId="0" borderId="45" xfId="3" applyFont="1" applyFill="1" applyBorder="1"/>
    <xf numFmtId="0" fontId="38" fillId="0" borderId="29" xfId="0" applyFont="1" applyBorder="1"/>
    <xf numFmtId="0" fontId="38" fillId="0" borderId="30" xfId="0" applyFont="1" applyBorder="1"/>
    <xf numFmtId="43" fontId="38" fillId="0" borderId="30" xfId="3" applyFont="1" applyFill="1" applyBorder="1"/>
    <xf numFmtId="0" fontId="38" fillId="0" borderId="32" xfId="0" applyFont="1" applyBorder="1"/>
    <xf numFmtId="43" fontId="38" fillId="0" borderId="32" xfId="3" applyFont="1" applyFill="1" applyBorder="1"/>
    <xf numFmtId="177" fontId="38" fillId="0" borderId="46" xfId="0" applyNumberFormat="1" applyFont="1" applyBorder="1" applyAlignment="1">
      <alignment horizontal="center"/>
    </xf>
    <xf numFmtId="177" fontId="49" fillId="0" borderId="46" xfId="0" applyNumberFormat="1" applyFont="1" applyBorder="1" applyAlignment="1">
      <alignment horizontal="center"/>
    </xf>
    <xf numFmtId="0" fontId="38" fillId="0" borderId="47" xfId="0" applyFont="1" applyBorder="1"/>
    <xf numFmtId="0" fontId="49" fillId="0" borderId="47" xfId="0" applyFont="1" applyBorder="1"/>
    <xf numFmtId="0" fontId="49" fillId="0" borderId="32" xfId="0" applyFont="1" applyBorder="1"/>
    <xf numFmtId="0" fontId="37" fillId="0" borderId="32" xfId="0" applyFont="1" applyBorder="1"/>
    <xf numFmtId="43" fontId="37" fillId="0" borderId="32" xfId="3" applyFont="1" applyFill="1" applyBorder="1"/>
    <xf numFmtId="177" fontId="37" fillId="0" borderId="46" xfId="0" applyNumberFormat="1" applyFont="1" applyBorder="1" applyAlignment="1">
      <alignment horizontal="center"/>
    </xf>
    <xf numFmtId="0" fontId="37" fillId="0" borderId="29" xfId="0" applyFont="1" applyBorder="1"/>
    <xf numFmtId="0" fontId="37" fillId="0" borderId="30" xfId="0" applyFont="1" applyBorder="1"/>
    <xf numFmtId="43" fontId="37" fillId="0" borderId="30" xfId="3" applyFont="1" applyFill="1" applyBorder="1"/>
    <xf numFmtId="0" fontId="37" fillId="0" borderId="47" xfId="0" applyFont="1" applyBorder="1"/>
    <xf numFmtId="0" fontId="37" fillId="0" borderId="44" xfId="0" applyFont="1" applyBorder="1"/>
    <xf numFmtId="177" fontId="38" fillId="0" borderId="0" xfId="0" applyNumberFormat="1" applyFont="1" applyAlignment="1">
      <alignment horizontal="center"/>
    </xf>
    <xf numFmtId="43" fontId="38" fillId="0" borderId="0" xfId="3" applyFont="1" applyFill="1"/>
    <xf numFmtId="0" fontId="37" fillId="0" borderId="0" xfId="0" applyFont="1"/>
    <xf numFmtId="43" fontId="37" fillId="0" borderId="0" xfId="3" applyFont="1" applyFill="1"/>
    <xf numFmtId="14" fontId="7" fillId="10" borderId="0" xfId="0" applyNumberFormat="1" applyFont="1" applyFill="1"/>
    <xf numFmtId="0" fontId="7" fillId="10" borderId="0" xfId="0" applyFont="1" applyFill="1"/>
    <xf numFmtId="178" fontId="7" fillId="2" borderId="0" xfId="1" applyNumberFormat="1" applyFont="1" applyFill="1"/>
    <xf numFmtId="43" fontId="7" fillId="11" borderId="1" xfId="2" applyFont="1" applyFill="1" applyBorder="1"/>
    <xf numFmtId="43" fontId="6" fillId="3" borderId="5" xfId="2" applyFont="1" applyFill="1" applyBorder="1" applyAlignment="1">
      <alignment horizontal="center"/>
    </xf>
    <xf numFmtId="43" fontId="31" fillId="2" borderId="1" xfId="1" applyFont="1" applyFill="1" applyBorder="1"/>
    <xf numFmtId="43" fontId="31" fillId="2" borderId="4" xfId="0" applyNumberFormat="1" applyFont="1" applyFill="1" applyBorder="1"/>
    <xf numFmtId="43" fontId="6" fillId="2" borderId="4" xfId="0" applyNumberFormat="1" applyFont="1" applyFill="1" applyBorder="1"/>
    <xf numFmtId="43" fontId="31" fillId="2" borderId="1" xfId="2" applyFont="1" applyFill="1" applyBorder="1"/>
    <xf numFmtId="164" fontId="1" fillId="0" borderId="0" xfId="0" applyNumberFormat="1" applyFont="1"/>
    <xf numFmtId="0" fontId="13" fillId="9" borderId="0" xfId="0" quotePrefix="1" applyFont="1" applyFill="1"/>
    <xf numFmtId="167" fontId="7" fillId="0" borderId="2" xfId="0" applyNumberFormat="1" applyFont="1" applyBorder="1" applyAlignment="1">
      <alignment horizontal="center"/>
    </xf>
    <xf numFmtId="39" fontId="7" fillId="0" borderId="9" xfId="0" applyNumberFormat="1" applyFont="1" applyBorder="1"/>
    <xf numFmtId="1" fontId="6" fillId="15" borderId="15" xfId="2" applyNumberFormat="1" applyFont="1" applyFill="1" applyBorder="1" applyAlignment="1">
      <alignment horizontal="center" vertical="center" wrapText="1"/>
    </xf>
    <xf numFmtId="167" fontId="7" fillId="11" borderId="2" xfId="0" applyNumberFormat="1" applyFont="1" applyFill="1" applyBorder="1" applyAlignment="1">
      <alignment horizontal="center"/>
    </xf>
    <xf numFmtId="43" fontId="7" fillId="10" borderId="1" xfId="1" applyFont="1" applyFill="1" applyBorder="1"/>
    <xf numFmtId="0" fontId="7" fillId="2" borderId="4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39" xfId="0" applyFont="1" applyFill="1" applyBorder="1" applyAlignment="1">
      <alignment horizontal="left"/>
    </xf>
    <xf numFmtId="0" fontId="7" fillId="2" borderId="49" xfId="0" applyFont="1" applyFill="1" applyBorder="1" applyAlignment="1">
      <alignment horizontal="center"/>
    </xf>
    <xf numFmtId="0" fontId="31" fillId="10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43" fontId="7" fillId="10" borderId="5" xfId="1" applyFont="1" applyFill="1" applyBorder="1"/>
    <xf numFmtId="43" fontId="6" fillId="15" borderId="15" xfId="1" applyFont="1" applyFill="1" applyBorder="1" applyAlignment="1">
      <alignment horizontal="center" vertical="center" wrapText="1"/>
    </xf>
    <xf numFmtId="4" fontId="7" fillId="2" borderId="0" xfId="0" applyNumberFormat="1" applyFont="1" applyFill="1"/>
    <xf numFmtId="4" fontId="7" fillId="2" borderId="0" xfId="0" applyNumberFormat="1" applyFont="1" applyFill="1" applyAlignment="1">
      <alignment vertical="center" wrapText="1"/>
    </xf>
    <xf numFmtId="4" fontId="6" fillId="2" borderId="39" xfId="0" applyNumberFormat="1" applyFont="1" applyFill="1" applyBorder="1" applyAlignment="1">
      <alignment horizontal="left"/>
    </xf>
    <xf numFmtId="43" fontId="6" fillId="15" borderId="15" xfId="1" applyFont="1" applyFill="1" applyBorder="1" applyAlignment="1">
      <alignment horizontal="center" vertical="top" wrapText="1"/>
    </xf>
    <xf numFmtId="179" fontId="1" fillId="0" borderId="0" xfId="0" applyNumberFormat="1" applyFont="1"/>
    <xf numFmtId="43" fontId="7" fillId="11" borderId="5" xfId="1" applyFont="1" applyFill="1" applyBorder="1"/>
    <xf numFmtId="0" fontId="7" fillId="11" borderId="0" xfId="0" applyFont="1" applyFill="1"/>
    <xf numFmtId="43" fontId="7" fillId="11" borderId="0" xfId="1" applyFont="1" applyFill="1"/>
    <xf numFmtId="14" fontId="6" fillId="15" borderId="15" xfId="1" applyNumberFormat="1" applyFont="1" applyFill="1" applyBorder="1" applyAlignment="1">
      <alignment horizontal="center" vertical="center" wrapText="1"/>
    </xf>
    <xf numFmtId="43" fontId="39" fillId="10" borderId="4" xfId="1" applyFont="1" applyFill="1" applyBorder="1"/>
    <xf numFmtId="43" fontId="7" fillId="10" borderId="4" xfId="0" applyNumberFormat="1" applyFont="1" applyFill="1" applyBorder="1"/>
    <xf numFmtId="10" fontId="7" fillId="11" borderId="13" xfId="11" applyNumberFormat="1" applyFont="1" applyFill="1" applyBorder="1"/>
    <xf numFmtId="10" fontId="7" fillId="11" borderId="5" xfId="1" applyNumberFormat="1" applyFont="1" applyFill="1" applyBorder="1"/>
    <xf numFmtId="43" fontId="13" fillId="10" borderId="0" xfId="1" applyFont="1" applyFill="1"/>
    <xf numFmtId="43" fontId="13" fillId="16" borderId="0" xfId="1" applyFont="1" applyFill="1"/>
    <xf numFmtId="43" fontId="13" fillId="16" borderId="0" xfId="0" applyNumberFormat="1" applyFont="1" applyFill="1"/>
    <xf numFmtId="43" fontId="13" fillId="10" borderId="0" xfId="0" applyNumberFormat="1" applyFont="1" applyFill="1"/>
    <xf numFmtId="43" fontId="13" fillId="9" borderId="50" xfId="0" applyNumberFormat="1" applyFont="1" applyFill="1" applyBorder="1"/>
    <xf numFmtId="0" fontId="13" fillId="16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16" borderId="0" xfId="0" applyFont="1" applyFill="1" applyAlignment="1">
      <alignment horizontal="center" vertical="center"/>
    </xf>
    <xf numFmtId="43" fontId="51" fillId="11" borderId="1" xfId="2" applyFont="1" applyFill="1" applyBorder="1"/>
    <xf numFmtId="43" fontId="7" fillId="11" borderId="5" xfId="2" applyFont="1" applyFill="1" applyBorder="1"/>
    <xf numFmtId="0" fontId="0" fillId="11" borderId="0" xfId="0" applyFill="1"/>
    <xf numFmtId="0" fontId="9" fillId="2" borderId="11" xfId="1" applyNumberFormat="1" applyFont="1" applyFill="1" applyBorder="1" applyAlignment="1">
      <alignment horizontal="left"/>
    </xf>
    <xf numFmtId="39" fontId="0" fillId="0" borderId="0" xfId="0" applyNumberFormat="1"/>
    <xf numFmtId="43" fontId="7" fillId="17" borderId="5" xfId="1" applyFont="1" applyFill="1" applyBorder="1"/>
    <xf numFmtId="10" fontId="6" fillId="15" borderId="1" xfId="12" applyNumberFormat="1" applyFont="1" applyFill="1" applyBorder="1" applyAlignment="1">
      <alignment horizontal="center" vertical="center" wrapText="1"/>
    </xf>
    <xf numFmtId="43" fontId="42" fillId="11" borderId="35" xfId="1" applyFont="1" applyFill="1" applyBorder="1"/>
    <xf numFmtId="0" fontId="52" fillId="11" borderId="0" xfId="0" quotePrefix="1" applyFont="1" applyFill="1" applyAlignment="1">
      <alignment horizontal="center"/>
    </xf>
    <xf numFmtId="0" fontId="52" fillId="11" borderId="0" xfId="0" applyFont="1" applyFill="1" applyAlignment="1">
      <alignment horizontal="center" vertical="center"/>
    </xf>
    <xf numFmtId="10" fontId="6" fillId="15" borderId="1" xfId="11" applyNumberFormat="1" applyFont="1" applyFill="1" applyBorder="1" applyAlignment="1">
      <alignment horizontal="center" vertical="center"/>
    </xf>
    <xf numFmtId="43" fontId="7" fillId="11" borderId="13" xfId="2" applyFont="1" applyFill="1" applyBorder="1"/>
    <xf numFmtId="4" fontId="38" fillId="0" borderId="0" xfId="0" applyNumberFormat="1" applyFont="1"/>
    <xf numFmtId="0" fontId="5" fillId="0" borderId="0" xfId="0" applyFont="1"/>
    <xf numFmtId="43" fontId="29" fillId="0" borderId="0" xfId="1" applyFont="1" applyFill="1" applyBorder="1"/>
    <xf numFmtId="0" fontId="36" fillId="10" borderId="51" xfId="0" applyFont="1" applyFill="1" applyBorder="1" applyAlignment="1">
      <alignment horizontal="center"/>
    </xf>
    <xf numFmtId="0" fontId="29" fillId="0" borderId="52" xfId="0" applyFont="1" applyBorder="1"/>
    <xf numFmtId="0" fontId="29" fillId="0" borderId="53" xfId="0" applyFont="1" applyBorder="1"/>
    <xf numFmtId="0" fontId="29" fillId="0" borderId="54" xfId="0" applyFont="1" applyBorder="1"/>
    <xf numFmtId="0" fontId="29" fillId="0" borderId="52" xfId="0" applyFont="1" applyBorder="1" applyAlignment="1">
      <alignment horizontal="left" vertical="center" wrapText="1"/>
    </xf>
    <xf numFmtId="0" fontId="29" fillId="0" borderId="53" xfId="0" applyFont="1" applyBorder="1" applyAlignment="1">
      <alignment horizontal="left" vertical="center" wrapText="1"/>
    </xf>
    <xf numFmtId="0" fontId="29" fillId="0" borderId="54" xfId="0" applyFont="1" applyBorder="1" applyAlignment="1">
      <alignment horizontal="left" vertical="center" wrapText="1"/>
    </xf>
    <xf numFmtId="0" fontId="29" fillId="0" borderId="54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43" fontId="5" fillId="0" borderId="0" xfId="0" applyNumberFormat="1" applyFont="1"/>
    <xf numFmtId="164" fontId="5" fillId="0" borderId="0" xfId="0" applyNumberFormat="1" applyFont="1"/>
    <xf numFmtId="0" fontId="31" fillId="15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6" fillId="10" borderId="15" xfId="1" applyNumberFormat="1" applyFont="1" applyFill="1" applyBorder="1" applyAlignment="1">
      <alignment horizontal="center" vertical="center" wrapText="1"/>
    </xf>
    <xf numFmtId="0" fontId="31" fillId="15" borderId="15" xfId="0" applyFont="1" applyFill="1" applyBorder="1" applyAlignment="1">
      <alignment horizontal="center" vertical="center" wrapText="1"/>
    </xf>
    <xf numFmtId="43" fontId="7" fillId="11" borderId="0" xfId="0" applyNumberFormat="1" applyFont="1" applyFill="1"/>
    <xf numFmtId="4" fontId="7" fillId="11" borderId="0" xfId="0" applyNumberFormat="1" applyFont="1" applyFill="1"/>
    <xf numFmtId="43" fontId="7" fillId="11" borderId="5" xfId="2" applyFont="1" applyFill="1" applyBorder="1" applyProtection="1"/>
    <xf numFmtId="43" fontId="7" fillId="11" borderId="1" xfId="1" applyFont="1" applyFill="1" applyBorder="1"/>
    <xf numFmtId="10" fontId="7" fillId="11" borderId="7" xfId="11" applyNumberFormat="1" applyFont="1" applyFill="1" applyBorder="1"/>
    <xf numFmtId="10" fontId="7" fillId="11" borderId="8" xfId="11" applyNumberFormat="1" applyFont="1" applyFill="1" applyBorder="1" applyAlignment="1" applyProtection="1">
      <alignment horizontal="center"/>
    </xf>
    <xf numFmtId="0" fontId="7" fillId="11" borderId="5" xfId="0" applyFont="1" applyFill="1" applyBorder="1"/>
    <xf numFmtId="39" fontId="7" fillId="11" borderId="9" xfId="0" applyNumberFormat="1" applyFont="1" applyFill="1" applyBorder="1"/>
    <xf numFmtId="0" fontId="36" fillId="10" borderId="55" xfId="0" applyFont="1" applyFill="1" applyBorder="1"/>
    <xf numFmtId="0" fontId="36" fillId="10" borderId="55" xfId="0" applyFont="1" applyFill="1" applyBorder="1" applyAlignment="1">
      <alignment horizontal="left" vertical="center" wrapText="1"/>
    </xf>
    <xf numFmtId="0" fontId="36" fillId="10" borderId="55" xfId="0" applyFont="1" applyFill="1" applyBorder="1" applyAlignment="1">
      <alignment wrapText="1"/>
    </xf>
    <xf numFmtId="0" fontId="6" fillId="10" borderId="5" xfId="1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/>
    <xf numFmtId="0" fontId="6" fillId="3" borderId="4" xfId="0" applyFont="1" applyFill="1" applyBorder="1" applyAlignment="1">
      <alignment horizontal="center"/>
    </xf>
    <xf numFmtId="10" fontId="6" fillId="15" borderId="56" xfId="12" applyNumberFormat="1" applyFont="1" applyFill="1" applyBorder="1" applyAlignment="1">
      <alignment horizontal="center" vertical="center"/>
    </xf>
    <xf numFmtId="43" fontId="6" fillId="5" borderId="4" xfId="2" applyFont="1" applyFill="1" applyBorder="1"/>
    <xf numFmtId="0" fontId="53" fillId="10" borderId="5" xfId="0" applyFont="1" applyFill="1" applyBorder="1" applyAlignment="1">
      <alignment horizontal="center" vertical="center" wrapText="1"/>
    </xf>
    <xf numFmtId="43" fontId="6" fillId="4" borderId="57" xfId="1" applyFont="1" applyFill="1" applyBorder="1" applyAlignment="1">
      <alignment horizontal="center" vertical="center" wrapText="1"/>
    </xf>
    <xf numFmtId="43" fontId="6" fillId="4" borderId="4" xfId="2" applyFont="1" applyFill="1" applyBorder="1" applyAlignment="1">
      <alignment horizontal="center" wrapText="1"/>
    </xf>
    <xf numFmtId="0" fontId="6" fillId="4" borderId="58" xfId="0" applyFont="1" applyFill="1" applyBorder="1" applyAlignment="1">
      <alignment horizontal="center" vertical="center" wrapText="1"/>
    </xf>
    <xf numFmtId="43" fontId="6" fillId="4" borderId="5" xfId="1" applyFont="1" applyFill="1" applyBorder="1" applyAlignment="1">
      <alignment horizontal="center" vertical="center" wrapText="1"/>
    </xf>
    <xf numFmtId="0" fontId="31" fillId="11" borderId="0" xfId="0" applyFont="1" applyFill="1" applyAlignment="1">
      <alignment horizontal="center"/>
    </xf>
    <xf numFmtId="167" fontId="6" fillId="11" borderId="2" xfId="0" applyNumberFormat="1" applyFont="1" applyFill="1" applyBorder="1"/>
    <xf numFmtId="0" fontId="8" fillId="11" borderId="3" xfId="0" applyFont="1" applyFill="1" applyBorder="1" applyAlignment="1">
      <alignment horizontal="center"/>
    </xf>
    <xf numFmtId="10" fontId="31" fillId="0" borderId="1" xfId="11" applyNumberFormat="1" applyFont="1" applyFill="1" applyBorder="1" applyAlignment="1">
      <alignment horizontal="center" vertical="center"/>
    </xf>
    <xf numFmtId="0" fontId="8" fillId="11" borderId="0" xfId="0" applyFont="1" applyFill="1" applyAlignment="1">
      <alignment horizontal="left"/>
    </xf>
    <xf numFmtId="0" fontId="7" fillId="11" borderId="0" xfId="0" applyFont="1" applyFill="1" applyAlignment="1">
      <alignment horizontal="center"/>
    </xf>
    <xf numFmtId="43" fontId="7" fillId="11" borderId="0" xfId="2" applyFont="1" applyFill="1" applyBorder="1"/>
    <xf numFmtId="17" fontId="8" fillId="11" borderId="0" xfId="0" applyNumberFormat="1" applyFont="1" applyFill="1" applyAlignment="1">
      <alignment horizontal="right"/>
    </xf>
    <xf numFmtId="166" fontId="7" fillId="11" borderId="0" xfId="0" applyNumberFormat="1" applyFont="1" applyFill="1" applyAlignment="1">
      <alignment horizontal="center"/>
    </xf>
    <xf numFmtId="0" fontId="6" fillId="11" borderId="0" xfId="0" applyFont="1" applyFill="1" applyAlignment="1">
      <alignment horizontal="left"/>
    </xf>
    <xf numFmtId="43" fontId="6" fillId="18" borderId="0" xfId="2" applyFont="1" applyFill="1" applyBorder="1" applyAlignment="1">
      <alignment horizontal="center" vertical="center" wrapText="1"/>
    </xf>
    <xf numFmtId="10" fontId="6" fillId="18" borderId="0" xfId="12" applyNumberFormat="1" applyFont="1" applyFill="1" applyBorder="1" applyAlignment="1">
      <alignment horizontal="center" vertical="center"/>
    </xf>
    <xf numFmtId="43" fontId="6" fillId="11" borderId="0" xfId="2" applyFont="1" applyFill="1" applyBorder="1"/>
    <xf numFmtId="43" fontId="31" fillId="11" borderId="0" xfId="2" applyFont="1" applyFill="1" applyBorder="1"/>
    <xf numFmtId="0" fontId="31" fillId="0" borderId="0" xfId="0" applyFont="1" applyAlignment="1">
      <alignment horizontal="center"/>
    </xf>
    <xf numFmtId="43" fontId="7" fillId="11" borderId="13" xfId="1" applyFont="1" applyFill="1" applyBorder="1"/>
    <xf numFmtId="10" fontId="6" fillId="18" borderId="1" xfId="12" applyNumberFormat="1" applyFont="1" applyFill="1" applyBorder="1" applyAlignment="1">
      <alignment horizontal="center" vertical="center"/>
    </xf>
    <xf numFmtId="164" fontId="7" fillId="11" borderId="0" xfId="0" applyNumberFormat="1" applyFont="1" applyFill="1"/>
    <xf numFmtId="43" fontId="6" fillId="4" borderId="59" xfId="1" applyFont="1" applyFill="1" applyBorder="1" applyAlignment="1">
      <alignment horizontal="center" vertical="center" wrapText="1"/>
    </xf>
    <xf numFmtId="43" fontId="31" fillId="2" borderId="5" xfId="1" applyFont="1" applyFill="1" applyBorder="1"/>
    <xf numFmtId="43" fontId="38" fillId="0" borderId="17" xfId="1" applyFont="1" applyFill="1" applyBorder="1"/>
    <xf numFmtId="0" fontId="29" fillId="0" borderId="0" xfId="10" applyFont="1"/>
    <xf numFmtId="0" fontId="36" fillId="0" borderId="0" xfId="10" applyFont="1"/>
    <xf numFmtId="0" fontId="29" fillId="0" borderId="60" xfId="10" applyFont="1" applyBorder="1"/>
    <xf numFmtId="0" fontId="54" fillId="0" borderId="0" xfId="10" applyFont="1" applyAlignment="1">
      <alignment horizontal="left"/>
    </xf>
    <xf numFmtId="15" fontId="29" fillId="0" borderId="0" xfId="10" applyNumberFormat="1" applyFont="1"/>
    <xf numFmtId="0" fontId="55" fillId="0" borderId="0" xfId="10" applyFont="1" applyAlignment="1">
      <alignment horizontal="center"/>
    </xf>
    <xf numFmtId="0" fontId="55" fillId="0" borderId="0" xfId="10" applyFont="1" applyAlignment="1">
      <alignment horizontal="left"/>
    </xf>
    <xf numFmtId="0" fontId="54" fillId="0" borderId="61" xfId="10" applyFont="1" applyBorder="1" applyAlignment="1">
      <alignment horizontal="left"/>
    </xf>
    <xf numFmtId="15" fontId="54" fillId="0" borderId="62" xfId="10" applyNumberFormat="1" applyFont="1" applyBorder="1" applyAlignment="1">
      <alignment horizontal="left"/>
    </xf>
    <xf numFmtId="0" fontId="29" fillId="0" borderId="5" xfId="10" applyFont="1" applyBorder="1" applyAlignment="1">
      <alignment horizontal="center"/>
    </xf>
    <xf numFmtId="167" fontId="29" fillId="0" borderId="22" xfId="10" applyNumberFormat="1" applyFont="1" applyBorder="1" applyAlignment="1">
      <alignment horizontal="center"/>
    </xf>
    <xf numFmtId="170" fontId="29" fillId="0" borderId="22" xfId="2" applyNumberFormat="1" applyFont="1" applyFill="1" applyBorder="1" applyAlignment="1">
      <alignment horizontal="center"/>
    </xf>
    <xf numFmtId="43" fontId="36" fillId="0" borderId="22" xfId="2" applyFont="1" applyFill="1" applyBorder="1" applyAlignment="1">
      <alignment horizontal="center"/>
    </xf>
    <xf numFmtId="0" fontId="29" fillId="0" borderId="0" xfId="10" applyFont="1" applyAlignment="1">
      <alignment horizontal="left"/>
    </xf>
    <xf numFmtId="15" fontId="54" fillId="0" borderId="63" xfId="10" applyNumberFormat="1" applyFont="1" applyBorder="1" applyAlignment="1">
      <alignment horizontal="left"/>
    </xf>
    <xf numFmtId="15" fontId="54" fillId="0" borderId="64" xfId="10" applyNumberFormat="1" applyFont="1" applyBorder="1" applyAlignment="1">
      <alignment horizontal="left"/>
    </xf>
    <xf numFmtId="0" fontId="29" fillId="19" borderId="25" xfId="10" applyFont="1" applyFill="1" applyBorder="1" applyAlignment="1">
      <alignment horizontal="center"/>
    </xf>
    <xf numFmtId="167" fontId="36" fillId="19" borderId="5" xfId="10" applyNumberFormat="1" applyFont="1" applyFill="1" applyBorder="1" applyAlignment="1">
      <alignment horizontal="center"/>
    </xf>
    <xf numFmtId="170" fontId="36" fillId="19" borderId="5" xfId="2" applyNumberFormat="1" applyFont="1" applyFill="1" applyBorder="1" applyAlignment="1">
      <alignment horizontal="center"/>
    </xf>
    <xf numFmtId="43" fontId="36" fillId="19" borderId="5" xfId="2" applyFont="1" applyFill="1" applyBorder="1" applyAlignment="1">
      <alignment horizontal="center"/>
    </xf>
    <xf numFmtId="0" fontId="36" fillId="19" borderId="5" xfId="10" applyFont="1" applyFill="1" applyBorder="1" applyAlignment="1">
      <alignment horizontal="center"/>
    </xf>
    <xf numFmtId="0" fontId="29" fillId="19" borderId="21" xfId="10" applyFont="1" applyFill="1" applyBorder="1" applyAlignment="1">
      <alignment horizontal="center"/>
    </xf>
    <xf numFmtId="14" fontId="29" fillId="0" borderId="0" xfId="10" quotePrefix="1" applyNumberFormat="1" applyFont="1"/>
    <xf numFmtId="14" fontId="29" fillId="0" borderId="0" xfId="10" applyNumberFormat="1" applyFont="1"/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36" fillId="0" borderId="65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15" fontId="36" fillId="0" borderId="65" xfId="0" applyNumberFormat="1" applyFont="1" applyBorder="1" applyAlignment="1">
      <alignment horizontal="center"/>
    </xf>
    <xf numFmtId="15" fontId="36" fillId="0" borderId="66" xfId="0" applyNumberFormat="1" applyFont="1" applyBorder="1" applyAlignment="1">
      <alignment horizontal="center"/>
    </xf>
    <xf numFmtId="0" fontId="36" fillId="0" borderId="65" xfId="0" applyFont="1" applyBorder="1" applyAlignment="1">
      <alignment horizontal="center" vertical="center" wrapText="1"/>
    </xf>
    <xf numFmtId="0" fontId="36" fillId="0" borderId="66" xfId="0" applyFont="1" applyBorder="1" applyAlignment="1">
      <alignment horizontal="center" vertical="center" wrapText="1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54" fillId="0" borderId="65" xfId="0" applyFont="1" applyBorder="1" applyAlignment="1">
      <alignment vertical="top"/>
    </xf>
    <xf numFmtId="0" fontId="54" fillId="0" borderId="65" xfId="2" applyNumberFormat="1" applyFont="1" applyBorder="1" applyAlignment="1">
      <alignment vertical="top" wrapText="1"/>
    </xf>
    <xf numFmtId="43" fontId="36" fillId="0" borderId="65" xfId="2" applyFont="1" applyFill="1" applyBorder="1" applyAlignment="1">
      <alignment horizontal="center" vertical="top" wrapText="1"/>
    </xf>
    <xf numFmtId="0" fontId="54" fillId="0" borderId="65" xfId="0" applyFont="1" applyBorder="1" applyAlignment="1">
      <alignment horizontal="left" vertical="center" wrapText="1"/>
    </xf>
    <xf numFmtId="43" fontId="36" fillId="10" borderId="66" xfId="2" applyFont="1" applyFill="1" applyBorder="1" applyAlignment="1">
      <alignment horizontal="center" vertical="center" wrapText="1"/>
    </xf>
    <xf numFmtId="43" fontId="54" fillId="0" borderId="65" xfId="2" applyFont="1" applyBorder="1" applyAlignment="1">
      <alignment horizontal="left" vertical="top" wrapText="1"/>
    </xf>
    <xf numFmtId="43" fontId="54" fillId="11" borderId="65" xfId="2" applyFont="1" applyFill="1" applyBorder="1" applyAlignment="1">
      <alignment horizontal="left" vertical="top" wrapText="1"/>
    </xf>
    <xf numFmtId="0" fontId="54" fillId="0" borderId="65" xfId="0" applyFont="1" applyBorder="1" applyAlignment="1">
      <alignment horizontal="left" vertical="top"/>
    </xf>
    <xf numFmtId="0" fontId="36" fillId="11" borderId="66" xfId="0" applyFont="1" applyFill="1" applyBorder="1" applyAlignment="1">
      <alignment horizontal="center" vertical="center"/>
    </xf>
    <xf numFmtId="44" fontId="36" fillId="11" borderId="66" xfId="5" applyFont="1" applyFill="1" applyBorder="1" applyAlignment="1">
      <alignment horizontal="center" vertical="center"/>
    </xf>
    <xf numFmtId="174" fontId="36" fillId="11" borderId="66" xfId="0" applyNumberFormat="1" applyFont="1" applyFill="1" applyBorder="1" applyAlignment="1">
      <alignment horizontal="center" vertical="center"/>
    </xf>
    <xf numFmtId="169" fontId="36" fillId="11" borderId="67" xfId="0" applyNumberFormat="1" applyFont="1" applyFill="1" applyBorder="1" applyAlignment="1">
      <alignment horizontal="center" vertical="center"/>
    </xf>
    <xf numFmtId="43" fontId="36" fillId="11" borderId="66" xfId="2" applyFont="1" applyFill="1" applyBorder="1" applyAlignment="1">
      <alignment horizontal="center" vertical="top" wrapText="1"/>
    </xf>
    <xf numFmtId="43" fontId="36" fillId="11" borderId="66" xfId="2" applyFont="1" applyFill="1" applyBorder="1" applyAlignment="1">
      <alignment horizontal="center" vertical="center" wrapText="1"/>
    </xf>
    <xf numFmtId="44" fontId="29" fillId="11" borderId="66" xfId="4" applyFont="1" applyFill="1" applyBorder="1" applyAlignment="1">
      <alignment vertical="top" wrapText="1"/>
    </xf>
    <xf numFmtId="175" fontId="29" fillId="11" borderId="66" xfId="2" applyNumberFormat="1" applyFont="1" applyFill="1" applyBorder="1" applyAlignment="1">
      <alignment vertical="top" wrapText="1"/>
    </xf>
    <xf numFmtId="0" fontId="36" fillId="11" borderId="66" xfId="0" applyFont="1" applyFill="1" applyBorder="1" applyAlignment="1">
      <alignment horizontal="center" vertical="top"/>
    </xf>
    <xf numFmtId="43" fontId="36" fillId="11" borderId="66" xfId="2" applyFont="1" applyFill="1" applyBorder="1" applyAlignment="1">
      <alignment vertical="top"/>
    </xf>
    <xf numFmtId="43" fontId="36" fillId="11" borderId="66" xfId="1" applyFont="1" applyFill="1" applyBorder="1" applyAlignment="1">
      <alignment horizontal="center" vertical="center" wrapText="1"/>
    </xf>
    <xf numFmtId="175" fontId="29" fillId="11" borderId="66" xfId="2" applyNumberFormat="1" applyFont="1" applyFill="1" applyBorder="1" applyAlignment="1">
      <alignment vertical="top"/>
    </xf>
    <xf numFmtId="175" fontId="36" fillId="11" borderId="66" xfId="2" applyNumberFormat="1" applyFont="1" applyFill="1" applyBorder="1" applyAlignment="1">
      <alignment vertical="top"/>
    </xf>
    <xf numFmtId="43" fontId="36" fillId="11" borderId="66" xfId="2" applyFont="1" applyFill="1" applyBorder="1" applyAlignment="1">
      <alignment horizontal="left" vertical="center" wrapText="1"/>
    </xf>
    <xf numFmtId="175" fontId="29" fillId="11" borderId="66" xfId="2" applyNumberFormat="1" applyFont="1" applyFill="1" applyBorder="1" applyAlignment="1">
      <alignment horizontal="left" vertical="top" wrapText="1"/>
    </xf>
    <xf numFmtId="0" fontId="36" fillId="11" borderId="66" xfId="0" applyFont="1" applyFill="1" applyBorder="1" applyAlignment="1">
      <alignment horizontal="center" vertical="top" wrapText="1"/>
    </xf>
    <xf numFmtId="0" fontId="54" fillId="10" borderId="65" xfId="0" applyFont="1" applyFill="1" applyBorder="1" applyAlignment="1">
      <alignment horizontal="left" vertical="top"/>
    </xf>
    <xf numFmtId="0" fontId="29" fillId="10" borderId="66" xfId="0" applyFont="1" applyFill="1" applyBorder="1" applyAlignment="1">
      <alignment horizontal="center" vertical="top"/>
    </xf>
    <xf numFmtId="0" fontId="0" fillId="10" borderId="65" xfId="0" applyFill="1" applyBorder="1" applyAlignment="1">
      <alignment horizontal="center" vertical="top"/>
    </xf>
    <xf numFmtId="0" fontId="24" fillId="10" borderId="66" xfId="0" applyFont="1" applyFill="1" applyBorder="1" applyAlignment="1">
      <alignment horizontal="center" vertical="top"/>
    </xf>
    <xf numFmtId="0" fontId="36" fillId="10" borderId="66" xfId="0" applyFont="1" applyFill="1" applyBorder="1" applyAlignment="1">
      <alignment horizontal="center" vertical="top" wrapText="1"/>
    </xf>
    <xf numFmtId="0" fontId="36" fillId="10" borderId="66" xfId="0" applyFont="1" applyFill="1" applyBorder="1" applyAlignment="1">
      <alignment horizontal="center" vertical="top"/>
    </xf>
    <xf numFmtId="43" fontId="36" fillId="10" borderId="65" xfId="2" applyFont="1" applyFill="1" applyBorder="1" applyAlignment="1">
      <alignment horizontal="center" vertical="top" wrapText="1"/>
    </xf>
    <xf numFmtId="43" fontId="36" fillId="10" borderId="66" xfId="2" applyFont="1" applyFill="1" applyBorder="1" applyAlignment="1">
      <alignment horizontal="center" vertical="top" wrapText="1"/>
    </xf>
    <xf numFmtId="43" fontId="36" fillId="10" borderId="65" xfId="2" applyFont="1" applyFill="1" applyBorder="1" applyAlignment="1">
      <alignment horizontal="center" vertical="center" wrapText="1"/>
    </xf>
    <xf numFmtId="43" fontId="36" fillId="10" borderId="26" xfId="2" applyFont="1" applyFill="1" applyBorder="1" applyAlignment="1">
      <alignment horizontal="center" vertical="center"/>
    </xf>
    <xf numFmtId="0" fontId="36" fillId="10" borderId="26" xfId="0" applyFont="1" applyFill="1" applyBorder="1" applyAlignment="1">
      <alignment horizontal="center" vertical="center"/>
    </xf>
    <xf numFmtId="43" fontId="36" fillId="10" borderId="26" xfId="1" applyFont="1" applyFill="1" applyBorder="1" applyAlignment="1">
      <alignment horizontal="center" vertical="center"/>
    </xf>
    <xf numFmtId="0" fontId="29" fillId="10" borderId="68" xfId="0" applyFont="1" applyFill="1" applyBorder="1" applyAlignment="1">
      <alignment horizontal="center" vertical="center"/>
    </xf>
    <xf numFmtId="0" fontId="36" fillId="10" borderId="69" xfId="0" applyFont="1" applyFill="1" applyBorder="1" applyAlignment="1">
      <alignment horizontal="center" vertical="center"/>
    </xf>
    <xf numFmtId="43" fontId="7" fillId="11" borderId="0" xfId="1" applyFont="1" applyFill="1" applyBorder="1"/>
    <xf numFmtId="43" fontId="7" fillId="11" borderId="0" xfId="1" applyFont="1" applyFill="1" applyBorder="1" applyAlignment="1"/>
    <xf numFmtId="43" fontId="6" fillId="18" borderId="0" xfId="1" applyFont="1" applyFill="1" applyBorder="1" applyAlignment="1">
      <alignment horizontal="center" vertical="center" wrapText="1"/>
    </xf>
    <xf numFmtId="10" fontId="6" fillId="18" borderId="0" xfId="11" applyNumberFormat="1" applyFont="1" applyFill="1" applyBorder="1" applyAlignment="1">
      <alignment horizontal="center" vertical="center"/>
    </xf>
    <xf numFmtId="43" fontId="6" fillId="11" borderId="0" xfId="1" applyFont="1" applyFill="1" applyBorder="1"/>
    <xf numFmtId="43" fontId="31" fillId="11" borderId="0" xfId="1" applyFont="1" applyFill="1" applyBorder="1"/>
    <xf numFmtId="15" fontId="27" fillId="11" borderId="27" xfId="7" applyNumberFormat="1" applyFont="1" applyFill="1" applyBorder="1" applyAlignment="1">
      <alignment horizontal="center" vertical="center"/>
    </xf>
    <xf numFmtId="170" fontId="29" fillId="11" borderId="27" xfId="2" applyNumberFormat="1" applyFont="1" applyFill="1" applyBorder="1" applyAlignment="1">
      <alignment vertical="center"/>
    </xf>
    <xf numFmtId="170" fontId="29" fillId="11" borderId="70" xfId="2" applyNumberFormat="1" applyFont="1" applyFill="1" applyBorder="1" applyAlignment="1">
      <alignment vertical="center"/>
    </xf>
    <xf numFmtId="43" fontId="29" fillId="11" borderId="26" xfId="2" applyFont="1" applyFill="1" applyBorder="1" applyAlignment="1">
      <alignment vertical="center"/>
    </xf>
    <xf numFmtId="0" fontId="5" fillId="11" borderId="0" xfId="7" applyFill="1"/>
    <xf numFmtId="43" fontId="38" fillId="11" borderId="71" xfId="1" applyFont="1" applyFill="1" applyBorder="1"/>
    <xf numFmtId="43" fontId="38" fillId="11" borderId="70" xfId="1" applyFont="1" applyFill="1" applyBorder="1"/>
    <xf numFmtId="43" fontId="37" fillId="11" borderId="32" xfId="1" applyFont="1" applyFill="1" applyBorder="1"/>
    <xf numFmtId="43" fontId="38" fillId="11" borderId="65" xfId="1" applyFont="1" applyFill="1" applyBorder="1"/>
    <xf numFmtId="43" fontId="38" fillId="11" borderId="10" xfId="1" applyFont="1" applyFill="1" applyBorder="1"/>
    <xf numFmtId="43" fontId="38" fillId="11" borderId="5" xfId="1" applyFont="1" applyFill="1" applyBorder="1"/>
    <xf numFmtId="43" fontId="37" fillId="11" borderId="72" xfId="1" applyFont="1" applyFill="1" applyBorder="1"/>
    <xf numFmtId="43" fontId="38" fillId="11" borderId="4" xfId="1" applyFont="1" applyFill="1" applyBorder="1"/>
    <xf numFmtId="43" fontId="37" fillId="11" borderId="26" xfId="1" applyFont="1" applyFill="1" applyBorder="1"/>
    <xf numFmtId="170" fontId="27" fillId="11" borderId="70" xfId="2" applyNumberFormat="1" applyFont="1" applyFill="1" applyBorder="1" applyAlignment="1">
      <alignment vertical="center"/>
    </xf>
    <xf numFmtId="0" fontId="0" fillId="10" borderId="0" xfId="0" applyFill="1"/>
    <xf numFmtId="43" fontId="30" fillId="11" borderId="0" xfId="1" applyFont="1" applyFill="1"/>
    <xf numFmtId="0" fontId="6" fillId="15" borderId="15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6" fillId="20" borderId="15" xfId="0" applyFont="1" applyFill="1" applyBorder="1" applyAlignment="1">
      <alignment horizontal="center" vertical="center" wrapText="1"/>
    </xf>
    <xf numFmtId="167" fontId="6" fillId="11" borderId="6" xfId="0" applyNumberFormat="1" applyFont="1" applyFill="1" applyBorder="1"/>
    <xf numFmtId="10" fontId="6" fillId="8" borderId="1" xfId="11" applyNumberFormat="1" applyFont="1" applyFill="1" applyBorder="1" applyAlignment="1">
      <alignment horizontal="center" vertical="center"/>
    </xf>
    <xf numFmtId="43" fontId="6" fillId="4" borderId="73" xfId="1" applyFont="1" applyFill="1" applyBorder="1" applyAlignment="1">
      <alignment horizontal="center" vertical="center" wrapText="1"/>
    </xf>
    <xf numFmtId="0" fontId="56" fillId="0" borderId="0" xfId="0" applyFont="1"/>
    <xf numFmtId="167" fontId="6" fillId="11" borderId="0" xfId="0" applyNumberFormat="1" applyFont="1" applyFill="1"/>
    <xf numFmtId="43" fontId="6" fillId="2" borderId="1" xfId="1" applyFont="1" applyFill="1" applyBorder="1"/>
    <xf numFmtId="43" fontId="7" fillId="2" borderId="0" xfId="1" quotePrefix="1" applyFont="1" applyFill="1" applyAlignment="1">
      <alignment horizontal="center"/>
    </xf>
    <xf numFmtId="43" fontId="29" fillId="0" borderId="0" xfId="1" quotePrefix="1" applyFont="1" applyFill="1"/>
    <xf numFmtId="164" fontId="1" fillId="11" borderId="0" xfId="0" applyNumberFormat="1" applyFont="1" applyFill="1"/>
    <xf numFmtId="10" fontId="6" fillId="4" borderId="13" xfId="11" applyNumberFormat="1" applyFont="1" applyFill="1" applyBorder="1" applyAlignment="1">
      <alignment horizontal="center" vertical="center"/>
    </xf>
    <xf numFmtId="43" fontId="31" fillId="2" borderId="10" xfId="1" applyFont="1" applyFill="1" applyBorder="1"/>
    <xf numFmtId="43" fontId="6" fillId="5" borderId="10" xfId="1" applyFont="1" applyFill="1" applyBorder="1"/>
    <xf numFmtId="43" fontId="6" fillId="7" borderId="10" xfId="1" applyFont="1" applyFill="1" applyBorder="1"/>
    <xf numFmtId="43" fontId="6" fillId="15" borderId="5" xfId="1" applyFont="1" applyFill="1" applyBorder="1" applyAlignment="1">
      <alignment horizontal="center" vertical="center" wrapText="1"/>
    </xf>
    <xf numFmtId="10" fontId="6" fillId="0" borderId="5" xfId="11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/>
    <xf numFmtId="43" fontId="6" fillId="2" borderId="74" xfId="2" applyFont="1" applyFill="1" applyBorder="1"/>
    <xf numFmtId="167" fontId="29" fillId="19" borderId="22" xfId="10" applyNumberFormat="1" applyFont="1" applyFill="1" applyBorder="1" applyAlignment="1">
      <alignment horizontal="center"/>
    </xf>
    <xf numFmtId="167" fontId="36" fillId="19" borderId="22" xfId="10" applyNumberFormat="1" applyFont="1" applyFill="1" applyBorder="1" applyAlignment="1">
      <alignment horizontal="center"/>
    </xf>
    <xf numFmtId="170" fontId="36" fillId="19" borderId="22" xfId="2" applyNumberFormat="1" applyFont="1" applyFill="1" applyBorder="1" applyAlignment="1">
      <alignment horizontal="center"/>
    </xf>
    <xf numFmtId="43" fontId="36" fillId="19" borderId="22" xfId="2" applyFont="1" applyFill="1" applyBorder="1" applyAlignment="1">
      <alignment horizontal="center"/>
    </xf>
    <xf numFmtId="0" fontId="36" fillId="19" borderId="22" xfId="10" applyFont="1" applyFill="1" applyBorder="1" applyAlignment="1">
      <alignment horizontal="center"/>
    </xf>
    <xf numFmtId="0" fontId="54" fillId="0" borderId="65" xfId="0" applyFont="1" applyBorder="1" applyAlignment="1">
      <alignment horizontal="left" vertical="center"/>
    </xf>
    <xf numFmtId="43" fontId="7" fillId="0" borderId="10" xfId="1" applyFont="1" applyFill="1" applyBorder="1"/>
    <xf numFmtId="0" fontId="0" fillId="0" borderId="0" xfId="0" quotePrefix="1"/>
    <xf numFmtId="165" fontId="12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43" fontId="7" fillId="11" borderId="0" xfId="1" quotePrefix="1" applyFont="1" applyFill="1"/>
    <xf numFmtId="43" fontId="0" fillId="0" borderId="0" xfId="1" applyFont="1" applyAlignment="1">
      <alignment wrapText="1"/>
    </xf>
    <xf numFmtId="43" fontId="0" fillId="0" borderId="0" xfId="1" applyFont="1" applyAlignment="1">
      <alignment vertical="center"/>
    </xf>
    <xf numFmtId="175" fontId="36" fillId="11" borderId="66" xfId="2" applyNumberFormat="1" applyFont="1" applyFill="1" applyBorder="1" applyAlignment="1">
      <alignment horizontal="center" vertical="top" wrapText="1"/>
    </xf>
    <xf numFmtId="43" fontId="29" fillId="11" borderId="66" xfId="2" applyFont="1" applyFill="1" applyBorder="1" applyAlignment="1">
      <alignment horizontal="center" vertical="center" wrapText="1"/>
    </xf>
    <xf numFmtId="43" fontId="38" fillId="11" borderId="5" xfId="1" applyFont="1" applyFill="1" applyBorder="1" applyProtection="1"/>
    <xf numFmtId="165" fontId="7" fillId="11" borderId="5" xfId="0" applyNumberFormat="1" applyFont="1" applyFill="1" applyBorder="1"/>
    <xf numFmtId="165" fontId="7" fillId="11" borderId="5" xfId="0" applyNumberFormat="1" applyFont="1" applyFill="1" applyBorder="1" applyAlignment="1">
      <alignment horizontal="center"/>
    </xf>
    <xf numFmtId="43" fontId="7" fillId="11" borderId="5" xfId="1" applyFont="1" applyFill="1" applyBorder="1" applyProtection="1"/>
    <xf numFmtId="165" fontId="6" fillId="0" borderId="5" xfId="0" applyNumberFormat="1" applyFont="1" applyBorder="1" applyAlignment="1">
      <alignment horizontal="left"/>
    </xf>
    <xf numFmtId="165" fontId="6" fillId="0" borderId="5" xfId="0" applyNumberFormat="1" applyFont="1" applyBorder="1" applyAlignment="1">
      <alignment horizontal="center"/>
    </xf>
    <xf numFmtId="43" fontId="6" fillId="0" borderId="5" xfId="1" applyFont="1" applyFill="1" applyBorder="1" applyProtection="1"/>
    <xf numFmtId="165" fontId="7" fillId="11" borderId="17" xfId="0" applyNumberFormat="1" applyFont="1" applyFill="1" applyBorder="1"/>
    <xf numFmtId="165" fontId="7" fillId="11" borderId="17" xfId="0" applyNumberFormat="1" applyFont="1" applyFill="1" applyBorder="1" applyAlignment="1">
      <alignment horizontal="center"/>
    </xf>
    <xf numFmtId="43" fontId="7" fillId="11" borderId="17" xfId="1" applyFont="1" applyFill="1" applyBorder="1" applyProtection="1"/>
    <xf numFmtId="165" fontId="8" fillId="7" borderId="75" xfId="0" applyNumberFormat="1" applyFont="1" applyFill="1" applyBorder="1" applyAlignment="1">
      <alignment horizontal="center" vertical="center"/>
    </xf>
    <xf numFmtId="165" fontId="8" fillId="7" borderId="76" xfId="0" applyNumberFormat="1" applyFont="1" applyFill="1" applyBorder="1" applyAlignment="1">
      <alignment horizontal="center" vertical="center"/>
    </xf>
    <xf numFmtId="43" fontId="8" fillId="7" borderId="76" xfId="1" applyFont="1" applyFill="1" applyBorder="1" applyAlignment="1" applyProtection="1">
      <alignment horizontal="center" vertical="center" wrapText="1"/>
    </xf>
    <xf numFmtId="43" fontId="8" fillId="7" borderId="77" xfId="1" applyFont="1" applyFill="1" applyBorder="1" applyAlignment="1" applyProtection="1">
      <alignment horizontal="center" vertical="center" wrapText="1"/>
    </xf>
    <xf numFmtId="0" fontId="29" fillId="0" borderId="16" xfId="10" applyFont="1" applyBorder="1"/>
    <xf numFmtId="0" fontId="29" fillId="0" borderId="78" xfId="10" applyFont="1" applyBorder="1" applyAlignment="1">
      <alignment horizontal="center" vertical="top"/>
    </xf>
    <xf numFmtId="43" fontId="29" fillId="0" borderId="0" xfId="1" applyFont="1" applyBorder="1" applyAlignment="1">
      <alignment vertical="top"/>
    </xf>
    <xf numFmtId="0" fontId="29" fillId="0" borderId="0" xfId="10" applyFont="1" applyAlignment="1">
      <alignment vertical="top"/>
    </xf>
    <xf numFmtId="0" fontId="36" fillId="0" borderId="5" xfId="10" applyFont="1" applyBorder="1" applyAlignment="1">
      <alignment horizontal="center"/>
    </xf>
    <xf numFmtId="167" fontId="36" fillId="0" borderId="5" xfId="10" applyNumberFormat="1" applyFont="1" applyBorder="1"/>
    <xf numFmtId="4" fontId="7" fillId="2" borderId="0" xfId="0" applyNumberFormat="1" applyFont="1" applyFill="1" applyAlignment="1">
      <alignment wrapText="1"/>
    </xf>
    <xf numFmtId="43" fontId="30" fillId="10" borderId="1" xfId="1" applyFont="1" applyFill="1" applyBorder="1"/>
    <xf numFmtId="4" fontId="7" fillId="0" borderId="0" xfId="0" applyNumberFormat="1" applyFont="1"/>
    <xf numFmtId="4" fontId="6" fillId="2" borderId="0" xfId="0" applyNumberFormat="1" applyFont="1" applyFill="1"/>
    <xf numFmtId="164" fontId="6" fillId="0" borderId="0" xfId="0" applyNumberFormat="1" applyFont="1"/>
    <xf numFmtId="43" fontId="30" fillId="10" borderId="5" xfId="1" applyFont="1" applyFill="1" applyBorder="1"/>
    <xf numFmtId="43" fontId="30" fillId="10" borderId="10" xfId="1" applyFont="1" applyFill="1" applyBorder="1"/>
    <xf numFmtId="43" fontId="30" fillId="0" borderId="1" xfId="1" applyFont="1" applyFill="1" applyBorder="1"/>
    <xf numFmtId="4" fontId="25" fillId="0" borderId="0" xfId="0" applyNumberFormat="1" applyFont="1"/>
    <xf numFmtId="0" fontId="26" fillId="0" borderId="0" xfId="0" applyFont="1"/>
    <xf numFmtId="43" fontId="6" fillId="0" borderId="0" xfId="1" applyFont="1" applyFill="1"/>
    <xf numFmtId="0" fontId="25" fillId="0" borderId="0" xfId="0" applyFont="1"/>
    <xf numFmtId="43" fontId="36" fillId="0" borderId="5" xfId="1" applyFont="1" applyFill="1" applyBorder="1" applyAlignment="1">
      <alignment horizontal="center"/>
    </xf>
    <xf numFmtId="43" fontId="7" fillId="11" borderId="1" xfId="1" applyFont="1" applyFill="1" applyBorder="1" applyProtection="1"/>
    <xf numFmtId="43" fontId="7" fillId="11" borderId="14" xfId="1" applyFont="1" applyFill="1" applyBorder="1"/>
    <xf numFmtId="4" fontId="57" fillId="0" borderId="35" xfId="0" applyNumberFormat="1" applyFont="1" applyBorder="1"/>
    <xf numFmtId="10" fontId="7" fillId="0" borderId="7" xfId="11" applyNumberFormat="1" applyFont="1" applyFill="1" applyBorder="1"/>
    <xf numFmtId="10" fontId="7" fillId="0" borderId="13" xfId="11" applyNumberFormat="1" applyFont="1" applyFill="1" applyBorder="1"/>
    <xf numFmtId="10" fontId="7" fillId="0" borderId="8" xfId="11" applyNumberFormat="1" applyFont="1" applyFill="1" applyBorder="1" applyAlignment="1" applyProtection="1">
      <alignment horizontal="center"/>
    </xf>
    <xf numFmtId="43" fontId="7" fillId="0" borderId="35" xfId="1" applyFont="1" applyFill="1" applyBorder="1"/>
    <xf numFmtId="43" fontId="7" fillId="0" borderId="13" xfId="1" applyFont="1" applyFill="1" applyBorder="1"/>
    <xf numFmtId="167" fontId="7" fillId="0" borderId="6" xfId="0" applyNumberFormat="1" applyFont="1" applyBorder="1" applyAlignment="1">
      <alignment horizontal="center"/>
    </xf>
    <xf numFmtId="43" fontId="7" fillId="0" borderId="13" xfId="1" applyFont="1" applyFill="1" applyBorder="1" applyProtection="1"/>
    <xf numFmtId="10" fontId="7" fillId="0" borderId="7" xfId="1" applyNumberFormat="1" applyFont="1" applyFill="1" applyBorder="1"/>
    <xf numFmtId="10" fontId="7" fillId="11" borderId="7" xfId="1" applyNumberFormat="1" applyFont="1" applyFill="1" applyBorder="1"/>
    <xf numFmtId="43" fontId="7" fillId="11" borderId="13" xfId="1" applyFont="1" applyFill="1" applyBorder="1" applyProtection="1"/>
    <xf numFmtId="43" fontId="29" fillId="0" borderId="45" xfId="10" applyNumberFormat="1" applyFont="1" applyBorder="1"/>
    <xf numFmtId="43" fontId="36" fillId="0" borderId="0" xfId="1" applyFont="1" applyBorder="1" applyAlignment="1">
      <alignment vertical="top"/>
    </xf>
    <xf numFmtId="43" fontId="29" fillId="0" borderId="0" xfId="10" applyNumberFormat="1" applyFont="1"/>
    <xf numFmtId="0" fontId="29" fillId="0" borderId="79" xfId="10" applyFont="1" applyBorder="1"/>
    <xf numFmtId="0" fontId="29" fillId="0" borderId="3" xfId="10" applyFont="1" applyBorder="1"/>
    <xf numFmtId="43" fontId="51" fillId="11" borderId="0" xfId="2" applyFont="1" applyFill="1" applyBorder="1"/>
    <xf numFmtId="167" fontId="7" fillId="11" borderId="6" xfId="0" applyNumberFormat="1" applyFont="1" applyFill="1" applyBorder="1" applyAlignment="1">
      <alignment horizontal="center"/>
    </xf>
    <xf numFmtId="4" fontId="57" fillId="11" borderId="80" xfId="0" applyNumberFormat="1" applyFont="1" applyFill="1" applyBorder="1"/>
    <xf numFmtId="43" fontId="36" fillId="0" borderId="0" xfId="1" applyFont="1" applyBorder="1"/>
    <xf numFmtId="0" fontId="29" fillId="0" borderId="81" xfId="10" applyFont="1" applyBorder="1"/>
    <xf numFmtId="0" fontId="36" fillId="0" borderId="78" xfId="10" applyFont="1" applyBorder="1" applyAlignment="1">
      <alignment horizontal="center"/>
    </xf>
    <xf numFmtId="0" fontId="29" fillId="0" borderId="78" xfId="10" applyFont="1" applyBorder="1"/>
    <xf numFmtId="43" fontId="29" fillId="0" borderId="30" xfId="10" applyNumberFormat="1" applyFont="1" applyBorder="1"/>
    <xf numFmtId="167" fontId="7" fillId="11" borderId="0" xfId="0" applyNumberFormat="1" applyFont="1" applyFill="1" applyAlignment="1">
      <alignment horizontal="center"/>
    </xf>
    <xf numFmtId="167" fontId="7" fillId="0" borderId="0" xfId="0" applyNumberFormat="1" applyFont="1" applyAlignment="1">
      <alignment horizontal="center"/>
    </xf>
    <xf numFmtId="43" fontId="7" fillId="11" borderId="39" xfId="1" applyFont="1" applyFill="1" applyBorder="1"/>
    <xf numFmtId="0" fontId="58" fillId="11" borderId="0" xfId="10" applyFont="1" applyFill="1"/>
    <xf numFmtId="0" fontId="29" fillId="11" borderId="5" xfId="10" applyFont="1" applyFill="1" applyBorder="1" applyAlignment="1">
      <alignment horizontal="center"/>
    </xf>
    <xf numFmtId="43" fontId="29" fillId="11" borderId="5" xfId="10" applyNumberFormat="1" applyFont="1" applyFill="1" applyBorder="1"/>
    <xf numFmtId="0" fontId="29" fillId="11" borderId="0" xfId="10" applyFont="1" applyFill="1"/>
    <xf numFmtId="15" fontId="27" fillId="11" borderId="81" xfId="7" applyNumberFormat="1" applyFont="1" applyFill="1" applyBorder="1" applyAlignment="1">
      <alignment horizontal="center" vertical="center"/>
    </xf>
    <xf numFmtId="170" fontId="29" fillId="11" borderId="16" xfId="2" applyNumberFormat="1" applyFont="1" applyFill="1" applyBorder="1" applyAlignment="1">
      <alignment vertical="center"/>
    </xf>
    <xf numFmtId="170" fontId="27" fillId="11" borderId="0" xfId="2" applyNumberFormat="1" applyFont="1" applyFill="1" applyBorder="1" applyAlignment="1">
      <alignment vertical="center"/>
    </xf>
    <xf numFmtId="43" fontId="29" fillId="11" borderId="72" xfId="2" applyFont="1" applyFill="1" applyBorder="1" applyAlignment="1">
      <alignment vertical="center"/>
    </xf>
    <xf numFmtId="43" fontId="38" fillId="11" borderId="78" xfId="1" applyFont="1" applyFill="1" applyBorder="1"/>
    <xf numFmtId="43" fontId="38" fillId="11" borderId="44" xfId="1" applyFont="1" applyFill="1" applyBorder="1"/>
    <xf numFmtId="43" fontId="38" fillId="11" borderId="0" xfId="1" applyFont="1" applyFill="1" applyBorder="1"/>
    <xf numFmtId="0" fontId="36" fillId="19" borderId="5" xfId="10" applyFont="1" applyFill="1" applyBorder="1" applyAlignment="1">
      <alignment horizontal="center" vertical="center"/>
    </xf>
    <xf numFmtId="0" fontId="36" fillId="19" borderId="22" xfId="10" applyFont="1" applyFill="1" applyBorder="1" applyAlignment="1">
      <alignment horizontal="center" vertical="center"/>
    </xf>
    <xf numFmtId="0" fontId="36" fillId="11" borderId="39" xfId="10" applyFont="1" applyFill="1" applyBorder="1" applyAlignment="1">
      <alignment horizontal="left" vertical="center"/>
    </xf>
    <xf numFmtId="0" fontId="54" fillId="11" borderId="62" xfId="10" applyFont="1" applyFill="1" applyBorder="1" applyAlignment="1">
      <alignment horizontal="left"/>
    </xf>
    <xf numFmtId="0" fontId="36" fillId="19" borderId="4" xfId="10" applyFont="1" applyFill="1" applyBorder="1" applyAlignment="1">
      <alignment horizontal="left" vertical="center"/>
    </xf>
    <xf numFmtId="0" fontId="36" fillId="19" borderId="11" xfId="10" applyFont="1" applyFill="1" applyBorder="1" applyAlignment="1">
      <alignment horizontal="left" vertical="center"/>
    </xf>
    <xf numFmtId="0" fontId="36" fillId="19" borderId="10" xfId="10" applyFont="1" applyFill="1" applyBorder="1" applyAlignment="1">
      <alignment horizontal="left" vertical="center"/>
    </xf>
    <xf numFmtId="15" fontId="54" fillId="0" borderId="82" xfId="10" applyNumberFormat="1" applyFont="1" applyBorder="1" applyAlignment="1">
      <alignment horizontal="left"/>
    </xf>
    <xf numFmtId="0" fontId="54" fillId="11" borderId="83" xfId="10" applyFont="1" applyFill="1" applyBorder="1" applyAlignment="1">
      <alignment horizontal="left"/>
    </xf>
    <xf numFmtId="0" fontId="54" fillId="0" borderId="63" xfId="10" applyFont="1" applyBorder="1" applyAlignment="1">
      <alignment horizontal="left"/>
    </xf>
    <xf numFmtId="15" fontId="36" fillId="11" borderId="84" xfId="10" applyNumberFormat="1" applyFont="1" applyFill="1" applyBorder="1"/>
    <xf numFmtId="0" fontId="59" fillId="11" borderId="84" xfId="10" applyFont="1" applyFill="1" applyBorder="1" applyAlignment="1">
      <alignment horizontal="left"/>
    </xf>
    <xf numFmtId="2" fontId="54" fillId="11" borderId="85" xfId="10" applyNumberFormat="1" applyFont="1" applyFill="1" applyBorder="1" applyAlignment="1">
      <alignment horizontal="center"/>
    </xf>
    <xf numFmtId="43" fontId="6" fillId="15" borderId="15" xfId="2" applyFont="1" applyFill="1" applyBorder="1" applyAlignment="1">
      <alignment horizontal="center" vertical="center" wrapText="1"/>
    </xf>
    <xf numFmtId="167" fontId="6" fillId="2" borderId="86" xfId="0" applyNumberFormat="1" applyFont="1" applyFill="1" applyBorder="1"/>
    <xf numFmtId="167" fontId="6" fillId="2" borderId="56" xfId="0" applyNumberFormat="1" applyFont="1" applyFill="1" applyBorder="1"/>
    <xf numFmtId="43" fontId="7" fillId="2" borderId="87" xfId="1" applyFont="1" applyFill="1" applyBorder="1"/>
    <xf numFmtId="167" fontId="6" fillId="2" borderId="24" xfId="0" applyNumberFormat="1" applyFont="1" applyFill="1" applyBorder="1"/>
    <xf numFmtId="43" fontId="30" fillId="11" borderId="1" xfId="1" applyFont="1" applyFill="1" applyBorder="1"/>
    <xf numFmtId="14" fontId="7" fillId="11" borderId="0" xfId="0" applyNumberFormat="1" applyFont="1" applyFill="1"/>
    <xf numFmtId="175" fontId="29" fillId="11" borderId="66" xfId="4" applyNumberFormat="1" applyFont="1" applyFill="1" applyBorder="1" applyAlignment="1">
      <alignment vertical="top"/>
    </xf>
    <xf numFmtId="43" fontId="6" fillId="11" borderId="0" xfId="0" applyNumberFormat="1" applyFont="1" applyFill="1"/>
    <xf numFmtId="43" fontId="29" fillId="0" borderId="5" xfId="2" applyFont="1" applyFill="1" applyBorder="1"/>
    <xf numFmtId="170" fontId="54" fillId="0" borderId="27" xfId="1" applyNumberFormat="1" applyFont="1" applyBorder="1"/>
    <xf numFmtId="170" fontId="54" fillId="0" borderId="27" xfId="1" applyNumberFormat="1" applyFont="1" applyFill="1" applyBorder="1"/>
    <xf numFmtId="170" fontId="54" fillId="0" borderId="88" xfId="1" applyNumberFormat="1" applyFont="1" applyBorder="1"/>
    <xf numFmtId="170" fontId="29" fillId="11" borderId="70" xfId="2" applyNumberFormat="1" applyFont="1" applyFill="1" applyBorder="1" applyAlignment="1">
      <alignment horizontal="left"/>
    </xf>
    <xf numFmtId="170" fontId="60" fillId="11" borderId="89" xfId="1" applyNumberFormat="1" applyFont="1" applyFill="1" applyBorder="1" applyAlignment="1">
      <alignment horizontal="left"/>
    </xf>
    <xf numFmtId="170" fontId="60" fillId="11" borderId="89" xfId="1" applyNumberFormat="1" applyFont="1" applyFill="1" applyBorder="1"/>
    <xf numFmtId="170" fontId="60" fillId="11" borderId="44" xfId="1" applyNumberFormat="1" applyFont="1" applyFill="1" applyBorder="1"/>
    <xf numFmtId="170" fontId="60" fillId="11" borderId="90" xfId="1" applyNumberFormat="1" applyFont="1" applyFill="1" applyBorder="1"/>
    <xf numFmtId="170" fontId="36" fillId="10" borderId="91" xfId="1" applyNumberFormat="1" applyFont="1" applyFill="1" applyBorder="1"/>
    <xf numFmtId="170" fontId="36" fillId="10" borderId="92" xfId="1" applyNumberFormat="1" applyFont="1" applyFill="1" applyBorder="1"/>
    <xf numFmtId="170" fontId="54" fillId="0" borderId="27" xfId="1" applyNumberFormat="1" applyFont="1" applyBorder="1" applyAlignment="1">
      <alignment vertical="center"/>
    </xf>
    <xf numFmtId="170" fontId="54" fillId="0" borderId="27" xfId="1" applyNumberFormat="1" applyFont="1" applyFill="1" applyBorder="1" applyAlignment="1">
      <alignment vertical="center"/>
    </xf>
    <xf numFmtId="170" fontId="54" fillId="0" borderId="88" xfId="1" applyNumberFormat="1" applyFont="1" applyBorder="1" applyAlignment="1">
      <alignment vertical="center"/>
    </xf>
    <xf numFmtId="170" fontId="29" fillId="11" borderId="70" xfId="1" applyNumberFormat="1" applyFont="1" applyFill="1" applyBorder="1" applyAlignment="1">
      <alignment vertical="center"/>
    </xf>
    <xf numFmtId="170" fontId="29" fillId="0" borderId="93" xfId="1" applyNumberFormat="1" applyFont="1" applyFill="1" applyBorder="1" applyAlignment="1">
      <alignment vertical="center"/>
    </xf>
    <xf numFmtId="170" fontId="60" fillId="11" borderId="90" xfId="1" applyNumberFormat="1" applyFont="1" applyFill="1" applyBorder="1" applyAlignment="1">
      <alignment vertical="center"/>
    </xf>
    <xf numFmtId="170" fontId="29" fillId="11" borderId="93" xfId="1" applyNumberFormat="1" applyFont="1" applyFill="1" applyBorder="1" applyAlignment="1">
      <alignment vertical="center"/>
    </xf>
    <xf numFmtId="170" fontId="36" fillId="10" borderId="91" xfId="1" applyNumberFormat="1" applyFont="1" applyFill="1" applyBorder="1" applyAlignment="1">
      <alignment vertical="center"/>
    </xf>
    <xf numFmtId="170" fontId="36" fillId="10" borderId="92" xfId="1" applyNumberFormat="1" applyFont="1" applyFill="1" applyBorder="1" applyAlignment="1">
      <alignment vertical="center"/>
    </xf>
    <xf numFmtId="170" fontId="54" fillId="0" borderId="88" xfId="1" applyNumberFormat="1" applyFont="1" applyBorder="1" applyAlignment="1"/>
    <xf numFmtId="170" fontId="29" fillId="11" borderId="70" xfId="1" applyNumberFormat="1" applyFont="1" applyFill="1" applyBorder="1"/>
    <xf numFmtId="170" fontId="29" fillId="0" borderId="27" xfId="1" applyNumberFormat="1" applyFont="1" applyFill="1" applyBorder="1"/>
    <xf numFmtId="170" fontId="13" fillId="11" borderId="70" xfId="1" applyNumberFormat="1" applyFont="1" applyFill="1" applyBorder="1" applyAlignment="1">
      <alignment horizontal="left" wrapText="1"/>
    </xf>
    <xf numFmtId="170" fontId="29" fillId="11" borderId="90" xfId="1" applyNumberFormat="1" applyFont="1" applyFill="1" applyBorder="1"/>
    <xf numFmtId="170" fontId="13" fillId="11" borderId="94" xfId="1" applyNumberFormat="1" applyFont="1" applyFill="1" applyBorder="1" applyAlignment="1">
      <alignment horizontal="left" wrapText="1"/>
    </xf>
    <xf numFmtId="170" fontId="5" fillId="0" borderId="0" xfId="0" applyNumberFormat="1" applyFont="1"/>
    <xf numFmtId="4" fontId="57" fillId="0" borderId="80" xfId="0" applyNumberFormat="1" applyFont="1" applyBorder="1"/>
    <xf numFmtId="43" fontId="7" fillId="0" borderId="80" xfId="1" applyFont="1" applyFill="1" applyBorder="1"/>
    <xf numFmtId="43" fontId="7" fillId="2" borderId="10" xfId="1" applyFont="1" applyFill="1" applyBorder="1"/>
    <xf numFmtId="43" fontId="36" fillId="0" borderId="3" xfId="2" applyFont="1" applyBorder="1"/>
    <xf numFmtId="0" fontId="29" fillId="0" borderId="21" xfId="10" applyFont="1" applyBorder="1" applyAlignment="1">
      <alignment horizontal="center"/>
    </xf>
    <xf numFmtId="0" fontId="36" fillId="0" borderId="22" xfId="10" applyFont="1" applyBorder="1" applyAlignment="1">
      <alignment horizontal="center"/>
    </xf>
    <xf numFmtId="0" fontId="29" fillId="0" borderId="22" xfId="10" applyFont="1" applyBorder="1" applyAlignment="1">
      <alignment horizontal="center"/>
    </xf>
    <xf numFmtId="43" fontId="29" fillId="0" borderId="22" xfId="2" applyFont="1" applyFill="1" applyBorder="1" applyAlignment="1">
      <alignment horizontal="center"/>
    </xf>
    <xf numFmtId="0" fontId="29" fillId="0" borderId="22" xfId="10" applyFont="1" applyBorder="1" applyAlignment="1">
      <alignment horizontal="center" vertical="center"/>
    </xf>
    <xf numFmtId="43" fontId="60" fillId="0" borderId="5" xfId="10" applyNumberFormat="1" applyFont="1" applyBorder="1"/>
    <xf numFmtId="43" fontId="29" fillId="0" borderId="5" xfId="10" applyNumberFormat="1" applyFont="1" applyBorder="1"/>
    <xf numFmtId="43" fontId="60" fillId="0" borderId="5" xfId="2" applyFont="1" applyFill="1" applyBorder="1"/>
    <xf numFmtId="0" fontId="60" fillId="0" borderId="5" xfId="10" applyFont="1" applyBorder="1" applyAlignment="1">
      <alignment horizontal="center"/>
    </xf>
    <xf numFmtId="43" fontId="60" fillId="0" borderId="5" xfId="2" applyFont="1" applyFill="1" applyBorder="1" applyAlignment="1">
      <alignment horizontal="center"/>
    </xf>
    <xf numFmtId="0" fontId="29" fillId="10" borderId="5" xfId="10" applyFont="1" applyFill="1" applyBorder="1" applyAlignment="1">
      <alignment horizontal="center"/>
    </xf>
    <xf numFmtId="167" fontId="29" fillId="10" borderId="5" xfId="10" applyNumberFormat="1" applyFont="1" applyFill="1" applyBorder="1" applyAlignment="1">
      <alignment horizontal="right"/>
    </xf>
    <xf numFmtId="43" fontId="29" fillId="10" borderId="5" xfId="2" applyFont="1" applyFill="1" applyBorder="1" applyAlignment="1">
      <alignment horizontal="center"/>
    </xf>
    <xf numFmtId="43" fontId="29" fillId="10" borderId="5" xfId="10" applyNumberFormat="1" applyFont="1" applyFill="1" applyBorder="1" applyAlignment="1">
      <alignment horizontal="center"/>
    </xf>
    <xf numFmtId="43" fontId="29" fillId="10" borderId="5" xfId="10" applyNumberFormat="1" applyFont="1" applyFill="1" applyBorder="1"/>
    <xf numFmtId="43" fontId="29" fillId="11" borderId="5" xfId="2" applyFont="1" applyFill="1" applyBorder="1" applyAlignment="1">
      <alignment horizontal="center"/>
    </xf>
    <xf numFmtId="43" fontId="29" fillId="11" borderId="5" xfId="2" applyFont="1" applyFill="1" applyBorder="1"/>
    <xf numFmtId="43" fontId="29" fillId="11" borderId="5" xfId="1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61" fillId="0" borderId="0" xfId="0" quotePrefix="1" applyFont="1" applyAlignment="1">
      <alignment vertical="center" wrapText="1"/>
    </xf>
    <xf numFmtId="43" fontId="1" fillId="0" borderId="0" xfId="0" applyNumberFormat="1" applyFont="1"/>
    <xf numFmtId="43" fontId="6" fillId="2" borderId="0" xfId="1" applyFont="1" applyFill="1"/>
    <xf numFmtId="4" fontId="1" fillId="0" borderId="0" xfId="0" applyNumberFormat="1" applyFont="1"/>
    <xf numFmtId="43" fontId="7" fillId="0" borderId="17" xfId="1" applyFont="1" applyFill="1" applyBorder="1" applyProtection="1"/>
    <xf numFmtId="43" fontId="6" fillId="11" borderId="5" xfId="2" applyFont="1" applyFill="1" applyBorder="1"/>
    <xf numFmtId="43" fontId="6" fillId="2" borderId="13" xfId="1" applyFont="1" applyFill="1" applyBorder="1"/>
    <xf numFmtId="43" fontId="38" fillId="11" borderId="0" xfId="1" applyFont="1" applyFill="1"/>
    <xf numFmtId="0" fontId="38" fillId="11" borderId="0" xfId="0" applyFont="1" applyFill="1"/>
    <xf numFmtId="4" fontId="38" fillId="11" borderId="0" xfId="0" applyNumberFormat="1" applyFont="1" applyFill="1"/>
    <xf numFmtId="170" fontId="36" fillId="11" borderId="0" xfId="1" applyNumberFormat="1" applyFont="1" applyFill="1" applyBorder="1" applyAlignment="1">
      <alignment vertical="center"/>
    </xf>
    <xf numFmtId="0" fontId="62" fillId="0" borderId="0" xfId="0" applyFont="1" applyAlignment="1">
      <alignment vertical="center" wrapText="1"/>
    </xf>
    <xf numFmtId="0" fontId="62" fillId="0" borderId="0" xfId="0" applyFont="1" applyAlignment="1">
      <alignment vertical="center"/>
    </xf>
    <xf numFmtId="0" fontId="63" fillId="11" borderId="0" xfId="10" applyFont="1" applyFill="1" applyAlignment="1">
      <alignment horizontal="center"/>
    </xf>
    <xf numFmtId="43" fontId="6" fillId="15" borderId="5" xfId="1" applyFont="1" applyFill="1" applyBorder="1" applyAlignment="1">
      <alignment horizontal="center" vertical="top" wrapText="1"/>
    </xf>
    <xf numFmtId="0" fontId="29" fillId="10" borderId="0" xfId="10" applyFont="1" applyFill="1"/>
    <xf numFmtId="0" fontId="13" fillId="0" borderId="0" xfId="0" applyFont="1"/>
    <xf numFmtId="4" fontId="7" fillId="11" borderId="5" xfId="0" applyNumberFormat="1" applyFont="1" applyFill="1" applyBorder="1"/>
    <xf numFmtId="10" fontId="6" fillId="11" borderId="5" xfId="11" applyNumberFormat="1" applyFont="1" applyFill="1" applyBorder="1" applyAlignment="1">
      <alignment horizontal="center" vertical="center"/>
    </xf>
    <xf numFmtId="43" fontId="7" fillId="11" borderId="10" xfId="1" applyFont="1" applyFill="1" applyBorder="1"/>
    <xf numFmtId="43" fontId="7" fillId="11" borderId="87" xfId="1" applyFont="1" applyFill="1" applyBorder="1"/>
    <xf numFmtId="43" fontId="6" fillId="8" borderId="5" xfId="1" applyFont="1" applyFill="1" applyBorder="1" applyAlignment="1">
      <alignment horizontal="center" vertical="center" wrapText="1"/>
    </xf>
    <xf numFmtId="0" fontId="36" fillId="10" borderId="0" xfId="10" applyFont="1" applyFill="1" applyAlignment="1">
      <alignment horizontal="center"/>
    </xf>
    <xf numFmtId="43" fontId="36" fillId="0" borderId="0" xfId="10" applyNumberFormat="1" applyFont="1"/>
    <xf numFmtId="0" fontId="6" fillId="2" borderId="0" xfId="0" applyFont="1" applyFill="1" applyAlignment="1">
      <alignment horizontal="center"/>
    </xf>
    <xf numFmtId="167" fontId="29" fillId="11" borderId="5" xfId="10" applyNumberFormat="1" applyFont="1" applyFill="1" applyBorder="1" applyAlignment="1">
      <alignment horizontal="center"/>
    </xf>
    <xf numFmtId="179" fontId="38" fillId="0" borderId="0" xfId="0" applyNumberFormat="1" applyFont="1"/>
    <xf numFmtId="43" fontId="38" fillId="0" borderId="0" xfId="0" applyNumberFormat="1" applyFont="1"/>
    <xf numFmtId="17" fontId="8" fillId="11" borderId="3" xfId="0" applyNumberFormat="1" applyFont="1" applyFill="1" applyBorder="1" applyAlignment="1">
      <alignment horizontal="right"/>
    </xf>
    <xf numFmtId="43" fontId="7" fillId="11" borderId="0" xfId="2" applyFont="1" applyFill="1" applyBorder="1" applyProtection="1"/>
    <xf numFmtId="10" fontId="7" fillId="11" borderId="0" xfId="11" applyNumberFormat="1" applyFont="1" applyFill="1" applyBorder="1"/>
    <xf numFmtId="39" fontId="6" fillId="18" borderId="2" xfId="0" applyNumberFormat="1" applyFont="1" applyFill="1" applyBorder="1"/>
    <xf numFmtId="39" fontId="7" fillId="11" borderId="0" xfId="0" applyNumberFormat="1" applyFont="1" applyFill="1"/>
    <xf numFmtId="43" fontId="29" fillId="0" borderId="32" xfId="10" applyNumberFormat="1" applyFont="1" applyBorder="1"/>
    <xf numFmtId="43" fontId="36" fillId="0" borderId="16" xfId="1" applyFont="1" applyBorder="1"/>
    <xf numFmtId="0" fontId="7" fillId="2" borderId="5" xfId="0" applyFont="1" applyFill="1" applyBorder="1" applyAlignment="1">
      <alignment horizontal="left"/>
    </xf>
    <xf numFmtId="43" fontId="7" fillId="11" borderId="5" xfId="0" applyNumberFormat="1" applyFont="1" applyFill="1" applyBorder="1" applyAlignment="1">
      <alignment horizontal="center"/>
    </xf>
    <xf numFmtId="43" fontId="1" fillId="0" borderId="0" xfId="1" applyFont="1"/>
    <xf numFmtId="43" fontId="7" fillId="21" borderId="5" xfId="1" applyFont="1" applyFill="1" applyBorder="1"/>
    <xf numFmtId="0" fontId="9" fillId="11" borderId="39" xfId="0" applyFont="1" applyFill="1" applyBorder="1"/>
    <xf numFmtId="0" fontId="0" fillId="11" borderId="17" xfId="0" applyFill="1" applyBorder="1"/>
    <xf numFmtId="0" fontId="0" fillId="11" borderId="5" xfId="0" applyFill="1" applyBorder="1"/>
    <xf numFmtId="0" fontId="64" fillId="0" borderId="0" xfId="10" applyFont="1"/>
    <xf numFmtId="0" fontId="64" fillId="11" borderId="0" xfId="10" applyFont="1" applyFill="1"/>
    <xf numFmtId="43" fontId="63" fillId="0" borderId="0" xfId="2" applyFont="1" applyFill="1"/>
    <xf numFmtId="43" fontId="63" fillId="11" borderId="0" xfId="2" applyFont="1" applyFill="1"/>
    <xf numFmtId="43" fontId="42" fillId="11" borderId="95" xfId="1" applyFont="1" applyFill="1" applyBorder="1"/>
    <xf numFmtId="0" fontId="29" fillId="0" borderId="5" xfId="10" applyFont="1" applyBorder="1" applyAlignment="1">
      <alignment horizontal="left"/>
    </xf>
    <xf numFmtId="0" fontId="29" fillId="11" borderId="5" xfId="10" applyFont="1" applyFill="1" applyBorder="1" applyAlignment="1">
      <alignment horizontal="left"/>
    </xf>
    <xf numFmtId="0" fontId="36" fillId="19" borderId="96" xfId="10" applyFont="1" applyFill="1" applyBorder="1" applyAlignment="1">
      <alignment horizontal="left"/>
    </xf>
    <xf numFmtId="0" fontId="29" fillId="19" borderId="97" xfId="10" applyFont="1" applyFill="1" applyBorder="1" applyAlignment="1">
      <alignment horizontal="left"/>
    </xf>
    <xf numFmtId="0" fontId="29" fillId="10" borderId="5" xfId="10" applyFont="1" applyFill="1" applyBorder="1" applyAlignment="1">
      <alignment horizontal="left"/>
    </xf>
    <xf numFmtId="0" fontId="62" fillId="0" borderId="0" xfId="0" quotePrefix="1" applyFont="1" applyAlignment="1">
      <alignment vertical="center"/>
    </xf>
    <xf numFmtId="43" fontId="36" fillId="11" borderId="0" xfId="2" applyFont="1" applyFill="1"/>
    <xf numFmtId="0" fontId="36" fillId="11" borderId="0" xfId="10" applyFont="1" applyFill="1" applyAlignment="1">
      <alignment horizontal="center"/>
    </xf>
    <xf numFmtId="43" fontId="6" fillId="2" borderId="25" xfId="1" applyFont="1" applyFill="1" applyBorder="1"/>
    <xf numFmtId="0" fontId="5" fillId="11" borderId="0" xfId="0" applyFont="1" applyFill="1"/>
    <xf numFmtId="167" fontId="29" fillId="11" borderId="5" xfId="10" applyNumberFormat="1" applyFont="1" applyFill="1" applyBorder="1" applyAlignment="1">
      <alignment horizontal="right"/>
    </xf>
    <xf numFmtId="43" fontId="36" fillId="11" borderId="28" xfId="1" applyFont="1" applyFill="1" applyBorder="1"/>
    <xf numFmtId="43" fontId="29" fillId="0" borderId="98" xfId="1" applyFont="1" applyBorder="1"/>
    <xf numFmtId="43" fontId="36" fillId="19" borderId="5" xfId="1" applyFont="1" applyFill="1" applyBorder="1" applyAlignment="1">
      <alignment horizontal="center"/>
    </xf>
    <xf numFmtId="43" fontId="36" fillId="19" borderId="22" xfId="1" applyFont="1" applyFill="1" applyBorder="1" applyAlignment="1">
      <alignment horizontal="center"/>
    </xf>
    <xf numFmtId="43" fontId="29" fillId="0" borderId="22" xfId="1" applyFont="1" applyFill="1" applyBorder="1" applyAlignment="1">
      <alignment horizontal="center"/>
    </xf>
    <xf numFmtId="43" fontId="29" fillId="11" borderId="5" xfId="1" applyFont="1" applyFill="1" applyBorder="1" applyAlignment="1">
      <alignment horizontal="center"/>
    </xf>
    <xf numFmtId="43" fontId="29" fillId="11" borderId="5" xfId="1" applyFont="1" applyFill="1" applyBorder="1" applyAlignment="1">
      <alignment horizontal="right"/>
    </xf>
    <xf numFmtId="43" fontId="29" fillId="10" borderId="5" xfId="1" applyFont="1" applyFill="1" applyBorder="1" applyAlignment="1">
      <alignment horizontal="right"/>
    </xf>
    <xf numFmtId="39" fontId="6" fillId="7" borderId="9" xfId="0" applyNumberFormat="1" applyFont="1" applyFill="1" applyBorder="1"/>
    <xf numFmtId="0" fontId="36" fillId="0" borderId="65" xfId="0" applyFont="1" applyBorder="1" applyAlignment="1">
      <alignment horizontal="left" vertical="top"/>
    </xf>
    <xf numFmtId="0" fontId="36" fillId="0" borderId="99" xfId="0" applyFont="1" applyBorder="1" applyAlignment="1">
      <alignment horizontal="left" vertical="top"/>
    </xf>
    <xf numFmtId="170" fontId="34" fillId="11" borderId="90" xfId="1" applyNumberFormat="1" applyFont="1" applyFill="1" applyBorder="1"/>
    <xf numFmtId="0" fontId="65" fillId="0" borderId="0" xfId="0" quotePrefix="1" applyFont="1" applyAlignment="1">
      <alignment vertical="center" wrapText="1"/>
    </xf>
    <xf numFmtId="170" fontId="36" fillId="11" borderId="70" xfId="1" applyNumberFormat="1" applyFont="1" applyFill="1" applyBorder="1"/>
    <xf numFmtId="4" fontId="37" fillId="0" borderId="0" xfId="0" applyNumberFormat="1" applyFont="1"/>
    <xf numFmtId="43" fontId="37" fillId="0" borderId="0" xfId="0" applyNumberFormat="1" applyFont="1"/>
    <xf numFmtId="43" fontId="37" fillId="11" borderId="5" xfId="1" applyFont="1" applyFill="1" applyBorder="1" applyProtection="1"/>
    <xf numFmtId="43" fontId="36" fillId="0" borderId="0" xfId="2" applyFont="1" applyFill="1"/>
    <xf numFmtId="0" fontId="36" fillId="0" borderId="0" xfId="10" applyFont="1" applyAlignment="1">
      <alignment horizontal="center"/>
    </xf>
    <xf numFmtId="0" fontId="58" fillId="0" borderId="0" xfId="10" applyFont="1"/>
    <xf numFmtId="0" fontId="36" fillId="0" borderId="0" xfId="10" applyFont="1" applyAlignment="1">
      <alignment horizontal="right"/>
    </xf>
    <xf numFmtId="0" fontId="29" fillId="0" borderId="0" xfId="10" applyFont="1" applyAlignment="1">
      <alignment horizontal="right"/>
    </xf>
    <xf numFmtId="0" fontId="36" fillId="19" borderId="11" xfId="10" applyFont="1" applyFill="1" applyBorder="1" applyAlignment="1">
      <alignment horizontal="right" vertical="center"/>
    </xf>
    <xf numFmtId="0" fontId="36" fillId="11" borderId="39" xfId="10" applyFont="1" applyFill="1" applyBorder="1" applyAlignment="1">
      <alignment horizontal="right" vertical="center"/>
    </xf>
    <xf numFmtId="167" fontId="29" fillId="0" borderId="22" xfId="10" applyNumberFormat="1" applyFont="1" applyBorder="1" applyAlignment="1">
      <alignment horizontal="right"/>
    </xf>
    <xf numFmtId="167" fontId="36" fillId="19" borderId="5" xfId="10" applyNumberFormat="1" applyFont="1" applyFill="1" applyBorder="1" applyAlignment="1">
      <alignment horizontal="right"/>
    </xf>
    <xf numFmtId="167" fontId="36" fillId="19" borderId="22" xfId="10" applyNumberFormat="1" applyFont="1" applyFill="1" applyBorder="1" applyAlignment="1">
      <alignment horizontal="right"/>
    </xf>
    <xf numFmtId="167" fontId="36" fillId="0" borderId="5" xfId="10" applyNumberFormat="1" applyFont="1" applyBorder="1" applyAlignment="1">
      <alignment horizontal="right"/>
    </xf>
    <xf numFmtId="43" fontId="34" fillId="11" borderId="0" xfId="2" applyFont="1" applyFill="1"/>
    <xf numFmtId="0" fontId="60" fillId="11" borderId="5" xfId="10" applyFont="1" applyFill="1" applyBorder="1" applyAlignment="1">
      <alignment horizontal="left"/>
    </xf>
    <xf numFmtId="0" fontId="60" fillId="11" borderId="5" xfId="10" applyFont="1" applyFill="1" applyBorder="1" applyAlignment="1">
      <alignment horizontal="center"/>
    </xf>
    <xf numFmtId="167" fontId="60" fillId="11" borderId="5" xfId="10" applyNumberFormat="1" applyFont="1" applyFill="1" applyBorder="1" applyAlignment="1">
      <alignment horizontal="right"/>
    </xf>
    <xf numFmtId="43" fontId="60" fillId="11" borderId="5" xfId="2" applyFont="1" applyFill="1" applyBorder="1" applyAlignment="1">
      <alignment horizontal="center"/>
    </xf>
    <xf numFmtId="43" fontId="60" fillId="11" borderId="5" xfId="1" applyFont="1" applyFill="1" applyBorder="1" applyAlignment="1">
      <alignment horizontal="right"/>
    </xf>
    <xf numFmtId="43" fontId="60" fillId="11" borderId="5" xfId="10" applyNumberFormat="1" applyFont="1" applyFill="1" applyBorder="1" applyAlignment="1">
      <alignment horizontal="center"/>
    </xf>
    <xf numFmtId="43" fontId="60" fillId="11" borderId="5" xfId="10" applyNumberFormat="1" applyFont="1" applyFill="1" applyBorder="1"/>
    <xf numFmtId="43" fontId="36" fillId="11" borderId="0" xfId="1" applyFont="1" applyFill="1"/>
    <xf numFmtId="167" fontId="7" fillId="2" borderId="18" xfId="0" applyNumberFormat="1" applyFont="1" applyFill="1" applyBorder="1" applyAlignment="1">
      <alignment horizontal="center"/>
    </xf>
    <xf numFmtId="43" fontId="7" fillId="2" borderId="100" xfId="1" applyFont="1" applyFill="1" applyBorder="1"/>
    <xf numFmtId="43" fontId="7" fillId="11" borderId="14" xfId="1" applyFont="1" applyFill="1" applyBorder="1" applyProtection="1"/>
    <xf numFmtId="43" fontId="7" fillId="11" borderId="0" xfId="1" applyFont="1" applyFill="1" applyBorder="1" applyProtection="1"/>
    <xf numFmtId="0" fontId="60" fillId="11" borderId="0" xfId="10" applyFont="1" applyFill="1"/>
    <xf numFmtId="167" fontId="7" fillId="11" borderId="5" xfId="0" applyNumberFormat="1" applyFont="1" applyFill="1" applyBorder="1" applyAlignment="1">
      <alignment horizontal="center"/>
    </xf>
    <xf numFmtId="43" fontId="30" fillId="10" borderId="5" xfId="2" applyFont="1" applyFill="1" applyBorder="1"/>
    <xf numFmtId="43" fontId="36" fillId="10" borderId="0" xfId="1" applyFont="1" applyFill="1"/>
    <xf numFmtId="170" fontId="36" fillId="0" borderId="93" xfId="1" applyNumberFormat="1" applyFont="1" applyBorder="1" applyAlignment="1"/>
    <xf numFmtId="43" fontId="34" fillId="11" borderId="0" xfId="1" applyFont="1" applyFill="1"/>
    <xf numFmtId="0" fontId="34" fillId="11" borderId="0" xfId="10" applyFont="1" applyFill="1" applyAlignment="1">
      <alignment horizontal="center"/>
    </xf>
    <xf numFmtId="4" fontId="0" fillId="0" borderId="0" xfId="0" applyNumberFormat="1" applyAlignment="1">
      <alignment wrapText="1"/>
    </xf>
    <xf numFmtId="43" fontId="6" fillId="22" borderId="5" xfId="1" applyFont="1" applyFill="1" applyBorder="1"/>
    <xf numFmtId="43" fontId="7" fillId="22" borderId="1" xfId="1" applyFont="1" applyFill="1" applyBorder="1"/>
    <xf numFmtId="43" fontId="7" fillId="0" borderId="4" xfId="0" applyNumberFormat="1" applyFont="1" applyBorder="1"/>
    <xf numFmtId="43" fontId="37" fillId="11" borderId="5" xfId="2" applyFont="1" applyFill="1" applyBorder="1" applyProtection="1"/>
    <xf numFmtId="43" fontId="62" fillId="0" borderId="0" xfId="0" quotePrefix="1" applyNumberFormat="1" applyFont="1" applyAlignment="1">
      <alignment vertical="center"/>
    </xf>
    <xf numFmtId="43" fontId="58" fillId="11" borderId="5" xfId="10" applyNumberFormat="1" applyFont="1" applyFill="1" applyBorder="1" applyAlignment="1">
      <alignment horizontal="center"/>
    </xf>
    <xf numFmtId="43" fontId="7" fillId="23" borderId="5" xfId="1" applyFont="1" applyFill="1" applyBorder="1"/>
    <xf numFmtId="43" fontId="31" fillId="23" borderId="5" xfId="1" applyFont="1" applyFill="1" applyBorder="1"/>
    <xf numFmtId="43" fontId="62" fillId="0" borderId="0" xfId="1" quotePrefix="1" applyFont="1" applyAlignment="1">
      <alignment vertical="center"/>
    </xf>
    <xf numFmtId="43" fontId="58" fillId="11" borderId="5" xfId="2" applyFont="1" applyFill="1" applyBorder="1" applyAlignment="1">
      <alignment horizontal="center"/>
    </xf>
    <xf numFmtId="43" fontId="7" fillId="11" borderId="80" xfId="1" applyFont="1" applyFill="1" applyBorder="1"/>
    <xf numFmtId="0" fontId="13" fillId="11" borderId="0" xfId="0" applyFont="1" applyFill="1"/>
    <xf numFmtId="170" fontId="36" fillId="11" borderId="90" xfId="1" applyNumberFormat="1" applyFont="1" applyFill="1" applyBorder="1"/>
    <xf numFmtId="170" fontId="36" fillId="0" borderId="89" xfId="1" applyNumberFormat="1" applyFont="1" applyBorder="1" applyAlignment="1"/>
    <xf numFmtId="0" fontId="36" fillId="0" borderId="81" xfId="7" applyFont="1" applyBorder="1" applyAlignment="1">
      <alignment horizontal="center" vertical="center" wrapText="1"/>
    </xf>
    <xf numFmtId="0" fontId="36" fillId="0" borderId="78" xfId="7" applyFont="1" applyBorder="1" applyAlignment="1">
      <alignment horizontal="center" vertical="center" wrapText="1"/>
    </xf>
    <xf numFmtId="4" fontId="66" fillId="24" borderId="0" xfId="0" applyNumberFormat="1" applyFont="1" applyFill="1" applyAlignment="1">
      <alignment horizontal="right" vertical="center" wrapText="1"/>
    </xf>
    <xf numFmtId="43" fontId="67" fillId="11" borderId="5" xfId="1" applyFont="1" applyFill="1" applyBorder="1" applyProtection="1"/>
    <xf numFmtId="43" fontId="31" fillId="11" borderId="5" xfId="1" applyFont="1" applyFill="1" applyBorder="1" applyProtection="1"/>
    <xf numFmtId="0" fontId="8" fillId="11" borderId="3" xfId="0" applyFont="1" applyFill="1" applyBorder="1" applyAlignment="1">
      <alignment horizontal="left"/>
    </xf>
    <xf numFmtId="43" fontId="58" fillId="10" borderId="5" xfId="2" applyFont="1" applyFill="1" applyBorder="1" applyAlignment="1">
      <alignment horizontal="center"/>
    </xf>
    <xf numFmtId="43" fontId="7" fillId="2" borderId="14" xfId="2" applyFont="1" applyFill="1" applyBorder="1"/>
    <xf numFmtId="43" fontId="0" fillId="0" borderId="0" xfId="0" applyNumberFormat="1" applyAlignment="1">
      <alignment vertical="center"/>
    </xf>
    <xf numFmtId="0" fontId="50" fillId="2" borderId="0" xfId="0" applyFont="1" applyFill="1"/>
    <xf numFmtId="0" fontId="50" fillId="2" borderId="0" xfId="0" applyFont="1" applyFill="1" applyAlignment="1">
      <alignment horizontal="center"/>
    </xf>
    <xf numFmtId="43" fontId="50" fillId="2" borderId="0" xfId="0" applyNumberFormat="1" applyFont="1" applyFill="1"/>
    <xf numFmtId="0" fontId="68" fillId="2" borderId="0" xfId="0" applyFont="1" applyFill="1"/>
    <xf numFmtId="0" fontId="69" fillId="2" borderId="0" xfId="0" applyFont="1" applyFill="1"/>
    <xf numFmtId="0" fontId="69" fillId="2" borderId="0" xfId="0" applyFont="1" applyFill="1" applyAlignment="1">
      <alignment horizontal="center"/>
    </xf>
    <xf numFmtId="43" fontId="69" fillId="2" borderId="0" xfId="0" applyNumberFormat="1" applyFont="1" applyFill="1"/>
    <xf numFmtId="0" fontId="69" fillId="25" borderId="0" xfId="0" applyFont="1" applyFill="1"/>
    <xf numFmtId="43" fontId="69" fillId="25" borderId="0" xfId="0" applyNumberFormat="1" applyFont="1" applyFill="1"/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center"/>
    </xf>
    <xf numFmtId="43" fontId="6" fillId="0" borderId="0" xfId="1" applyFont="1" applyFill="1" applyBorder="1" applyProtection="1"/>
    <xf numFmtId="170" fontId="29" fillId="11" borderId="70" xfId="1" applyNumberFormat="1" applyFont="1" applyFill="1" applyBorder="1" applyAlignment="1">
      <alignment horizontal="center" vertical="center"/>
    </xf>
    <xf numFmtId="4" fontId="0" fillId="11" borderId="0" xfId="0" applyNumberFormat="1" applyFill="1"/>
    <xf numFmtId="43" fontId="30" fillId="11" borderId="5" xfId="1" applyFont="1" applyFill="1" applyBorder="1" applyProtection="1"/>
    <xf numFmtId="4" fontId="70" fillId="0" borderId="0" xfId="0" applyNumberFormat="1" applyFont="1" applyAlignment="1">
      <alignment vertical="center"/>
    </xf>
    <xf numFmtId="43" fontId="13" fillId="2" borderId="0" xfId="1" applyFont="1" applyFill="1"/>
    <xf numFmtId="43" fontId="13" fillId="0" borderId="0" xfId="1" applyFont="1" applyFill="1"/>
    <xf numFmtId="43" fontId="13" fillId="11" borderId="0" xfId="1" applyFont="1" applyFill="1"/>
    <xf numFmtId="43" fontId="50" fillId="2" borderId="0" xfId="1" applyFont="1" applyFill="1"/>
    <xf numFmtId="43" fontId="69" fillId="2" borderId="0" xfId="1" applyFont="1" applyFill="1"/>
    <xf numFmtId="43" fontId="62" fillId="0" borderId="0" xfId="0" applyNumberFormat="1" applyFont="1" applyAlignment="1">
      <alignment vertical="center" wrapText="1"/>
    </xf>
    <xf numFmtId="0" fontId="9" fillId="11" borderId="11" xfId="1" applyNumberFormat="1" applyFont="1" applyFill="1" applyBorder="1" applyAlignment="1">
      <alignment horizontal="left"/>
    </xf>
    <xf numFmtId="10" fontId="7" fillId="2" borderId="0" xfId="1" applyNumberFormat="1" applyFont="1" applyFill="1"/>
    <xf numFmtId="43" fontId="6" fillId="8" borderId="5" xfId="2" applyFont="1" applyFill="1" applyBorder="1" applyAlignment="1">
      <alignment horizontal="center" vertical="center" wrapText="1"/>
    </xf>
    <xf numFmtId="43" fontId="6" fillId="10" borderId="4" xfId="2" applyFont="1" applyFill="1" applyBorder="1"/>
    <xf numFmtId="170" fontId="34" fillId="0" borderId="27" xfId="1" applyNumberFormat="1" applyFont="1" applyBorder="1"/>
    <xf numFmtId="0" fontId="7" fillId="11" borderId="0" xfId="0" applyFont="1" applyFill="1" applyAlignment="1">
      <alignment vertical="center" wrapText="1"/>
    </xf>
    <xf numFmtId="14" fontId="7" fillId="11" borderId="0" xfId="0" applyNumberFormat="1" applyFont="1" applyFill="1" applyAlignment="1">
      <alignment vertical="center" wrapText="1"/>
    </xf>
    <xf numFmtId="43" fontId="42" fillId="11" borderId="0" xfId="1" applyFont="1" applyFill="1" applyBorder="1"/>
    <xf numFmtId="43" fontId="6" fillId="4" borderId="14" xfId="1" applyFont="1" applyFill="1" applyBorder="1" applyAlignment="1">
      <alignment horizontal="center"/>
    </xf>
    <xf numFmtId="170" fontId="54" fillId="11" borderId="27" xfId="1" applyNumberFormat="1" applyFont="1" applyFill="1" applyBorder="1"/>
    <xf numFmtId="3" fontId="70" fillId="11" borderId="0" xfId="0" applyNumberFormat="1" applyFont="1" applyFill="1"/>
    <xf numFmtId="43" fontId="5" fillId="11" borderId="0" xfId="7" applyNumberFormat="1" applyFill="1"/>
    <xf numFmtId="3" fontId="0" fillId="0" borderId="0" xfId="0" applyNumberFormat="1"/>
    <xf numFmtId="4" fontId="0" fillId="26" borderId="0" xfId="0" applyNumberFormat="1" applyFill="1"/>
    <xf numFmtId="4" fontId="0" fillId="0" borderId="0" xfId="0" applyNumberFormat="1" applyAlignment="1">
      <alignment horizontal="right" vertical="top"/>
    </xf>
    <xf numFmtId="43" fontId="42" fillId="11" borderId="5" xfId="1" applyFont="1" applyFill="1" applyBorder="1"/>
    <xf numFmtId="43" fontId="38" fillId="11" borderId="37" xfId="1" applyFont="1" applyFill="1" applyBorder="1"/>
    <xf numFmtId="43" fontId="38" fillId="11" borderId="97" xfId="1" applyFont="1" applyFill="1" applyBorder="1"/>
    <xf numFmtId="43" fontId="38" fillId="11" borderId="96" xfId="1" applyFont="1" applyFill="1" applyBorder="1"/>
    <xf numFmtId="0" fontId="31" fillId="12" borderId="0" xfId="0" applyFont="1" applyFill="1" applyAlignment="1">
      <alignment horizontal="center"/>
    </xf>
    <xf numFmtId="170" fontId="27" fillId="11" borderId="90" xfId="2" applyNumberFormat="1" applyFont="1" applyFill="1" applyBorder="1" applyAlignment="1">
      <alignment vertical="center"/>
    </xf>
    <xf numFmtId="15" fontId="48" fillId="11" borderId="27" xfId="7" applyNumberFormat="1" applyFont="1" applyFill="1" applyBorder="1" applyAlignment="1">
      <alignment horizontal="center" vertical="center"/>
    </xf>
    <xf numFmtId="43" fontId="38" fillId="11" borderId="4" xfId="1" applyFont="1" applyFill="1" applyBorder="1" applyAlignment="1">
      <alignment horizontal="right" vertical="top"/>
    </xf>
    <xf numFmtId="170" fontId="36" fillId="11" borderId="94" xfId="1" applyNumberFormat="1" applyFont="1" applyFill="1" applyBorder="1"/>
    <xf numFmtId="0" fontId="6" fillId="11" borderId="0" xfId="0" applyFont="1" applyFill="1"/>
    <xf numFmtId="4" fontId="71" fillId="0" borderId="0" xfId="0" applyNumberFormat="1" applyFont="1" applyAlignment="1">
      <alignment horizontal="left" vertical="center" wrapText="1"/>
    </xf>
    <xf numFmtId="43" fontId="29" fillId="0" borderId="102" xfId="1" applyFont="1" applyBorder="1" applyAlignment="1">
      <alignment horizontal="center"/>
    </xf>
    <xf numFmtId="43" fontId="29" fillId="0" borderId="3" xfId="1" applyFont="1" applyBorder="1" applyAlignment="1">
      <alignment horizontal="center"/>
    </xf>
    <xf numFmtId="43" fontId="29" fillId="0" borderId="103" xfId="1" applyFont="1" applyBorder="1" applyAlignment="1">
      <alignment horizontal="center"/>
    </xf>
    <xf numFmtId="0" fontId="29" fillId="0" borderId="10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103" xfId="0" applyFont="1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2" xfId="0" applyBorder="1" applyAlignment="1">
      <alignment horizontal="center"/>
    </xf>
    <xf numFmtId="0" fontId="72" fillId="0" borderId="104" xfId="0" applyFont="1" applyBorder="1" applyAlignment="1">
      <alignment horizontal="center"/>
    </xf>
    <xf numFmtId="0" fontId="72" fillId="0" borderId="105" xfId="0" applyFont="1" applyBorder="1" applyAlignment="1">
      <alignment horizontal="center"/>
    </xf>
    <xf numFmtId="0" fontId="72" fillId="0" borderId="106" xfId="0" applyFont="1" applyBorder="1" applyAlignment="1">
      <alignment horizontal="center"/>
    </xf>
    <xf numFmtId="0" fontId="73" fillId="0" borderId="107" xfId="0" applyFont="1" applyBorder="1" applyAlignment="1">
      <alignment horizontal="center"/>
    </xf>
    <xf numFmtId="0" fontId="73" fillId="0" borderId="84" xfId="0" applyFont="1" applyBorder="1" applyAlignment="1">
      <alignment horizontal="center"/>
    </xf>
    <xf numFmtId="0" fontId="73" fillId="0" borderId="108" xfId="0" applyFont="1" applyBorder="1" applyAlignment="1">
      <alignment horizontal="center"/>
    </xf>
    <xf numFmtId="15" fontId="73" fillId="10" borderId="107" xfId="0" applyNumberFormat="1" applyFont="1" applyFill="1" applyBorder="1" applyAlignment="1">
      <alignment horizontal="center" vertical="center"/>
    </xf>
    <xf numFmtId="0" fontId="73" fillId="10" borderId="84" xfId="0" applyFont="1" applyFill="1" applyBorder="1" applyAlignment="1">
      <alignment horizontal="center" vertical="center"/>
    </xf>
    <xf numFmtId="0" fontId="73" fillId="10" borderId="108" xfId="0" applyFont="1" applyFill="1" applyBorder="1" applyAlignment="1">
      <alignment horizontal="center" vertical="center"/>
    </xf>
    <xf numFmtId="0" fontId="5" fillId="0" borderId="107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108" xfId="0" applyFont="1" applyBorder="1" applyAlignment="1">
      <alignment horizontal="center"/>
    </xf>
    <xf numFmtId="0" fontId="5" fillId="0" borderId="10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43" fillId="0" borderId="47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43" fontId="43" fillId="0" borderId="47" xfId="0" applyNumberFormat="1" applyFont="1" applyBorder="1" applyAlignment="1">
      <alignment horizontal="center" vertical="center"/>
    </xf>
    <xf numFmtId="177" fontId="38" fillId="0" borderId="81" xfId="0" applyNumberFormat="1" applyFont="1" applyBorder="1" applyAlignment="1">
      <alignment horizontal="center"/>
    </xf>
    <xf numFmtId="177" fontId="38" fillId="0" borderId="16" xfId="0" applyNumberFormat="1" applyFont="1" applyBorder="1" applyAlignment="1">
      <alignment horizontal="center"/>
    </xf>
    <xf numFmtId="177" fontId="38" fillId="0" borderId="32" xfId="0" applyNumberFormat="1" applyFont="1" applyBorder="1" applyAlignment="1">
      <alignment horizontal="center"/>
    </xf>
    <xf numFmtId="0" fontId="43" fillId="0" borderId="0" xfId="0" applyFont="1" applyAlignment="1">
      <alignment horizontal="center" vertical="center" wrapText="1"/>
    </xf>
    <xf numFmtId="177" fontId="0" fillId="0" borderId="28" xfId="0" applyNumberFormat="1" applyBorder="1" applyAlignment="1">
      <alignment horizontal="center"/>
    </xf>
    <xf numFmtId="177" fontId="0" fillId="0" borderId="84" xfId="0" applyNumberFormat="1" applyBorder="1" applyAlignment="1">
      <alignment horizontal="center"/>
    </xf>
    <xf numFmtId="177" fontId="0" fillId="0" borderId="72" xfId="0" applyNumberFormat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6" fillId="2" borderId="12" xfId="0" applyFont="1" applyFill="1" applyBorder="1" applyAlignment="1">
      <alignment horizontal="left"/>
    </xf>
    <xf numFmtId="165" fontId="7" fillId="0" borderId="24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100" xfId="0" applyNumberFormat="1" applyFont="1" applyBorder="1" applyAlignment="1">
      <alignment horizontal="center"/>
    </xf>
    <xf numFmtId="0" fontId="5" fillId="0" borderId="3" xfId="7" applyBorder="1" applyAlignment="1">
      <alignment horizontal="center"/>
    </xf>
    <xf numFmtId="0" fontId="36" fillId="0" borderId="47" xfId="7" applyFont="1" applyBorder="1" applyAlignment="1">
      <alignment horizontal="center" vertical="center" wrapText="1"/>
    </xf>
    <xf numFmtId="0" fontId="36" fillId="0" borderId="44" xfId="7" applyFont="1" applyBorder="1" applyAlignment="1">
      <alignment horizontal="center" vertical="center" wrapText="1"/>
    </xf>
    <xf numFmtId="0" fontId="36" fillId="0" borderId="29" xfId="7" applyFont="1" applyBorder="1" applyAlignment="1">
      <alignment horizontal="center" vertical="center" wrapText="1"/>
    </xf>
    <xf numFmtId="0" fontId="36" fillId="0" borderId="79" xfId="7" applyFont="1" applyBorder="1" applyAlignment="1">
      <alignment horizontal="center"/>
    </xf>
    <xf numFmtId="0" fontId="36" fillId="0" borderId="3" xfId="7" applyFont="1" applyBorder="1" applyAlignment="1">
      <alignment horizontal="center"/>
    </xf>
    <xf numFmtId="0" fontId="36" fillId="0" borderId="30" xfId="7" applyFont="1" applyBorder="1" applyAlignment="1">
      <alignment horizontal="center"/>
    </xf>
    <xf numFmtId="0" fontId="35" fillId="27" borderId="28" xfId="7" applyFont="1" applyFill="1" applyBorder="1" applyAlignment="1">
      <alignment wrapText="1"/>
    </xf>
    <xf numFmtId="0" fontId="35" fillId="27" borderId="84" xfId="7" applyFont="1" applyFill="1" applyBorder="1" applyAlignment="1">
      <alignment wrapText="1"/>
    </xf>
    <xf numFmtId="0" fontId="35" fillId="27" borderId="72" xfId="7" applyFont="1" applyFill="1" applyBorder="1" applyAlignment="1">
      <alignment wrapText="1"/>
    </xf>
    <xf numFmtId="0" fontId="36" fillId="0" borderId="79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30" xfId="7" applyFont="1" applyBorder="1" applyAlignment="1">
      <alignment horizontal="center" vertical="center"/>
    </xf>
    <xf numFmtId="173" fontId="49" fillId="0" borderId="28" xfId="7" applyNumberFormat="1" applyFont="1" applyBorder="1" applyAlignment="1">
      <alignment horizontal="left"/>
    </xf>
    <xf numFmtId="173" fontId="49" fillId="0" borderId="84" xfId="7" applyNumberFormat="1" applyFont="1" applyBorder="1" applyAlignment="1">
      <alignment horizontal="left"/>
    </xf>
    <xf numFmtId="173" fontId="49" fillId="0" borderId="72" xfId="7" applyNumberFormat="1" applyFont="1" applyBorder="1" applyAlignment="1">
      <alignment horizontal="left"/>
    </xf>
    <xf numFmtId="15" fontId="28" fillId="7" borderId="28" xfId="7" applyNumberFormat="1" applyFont="1" applyFill="1" applyBorder="1" applyAlignment="1">
      <alignment horizontal="center" vertical="center"/>
    </xf>
    <xf numFmtId="15" fontId="28" fillId="7" borderId="84" xfId="7" applyNumberFormat="1" applyFont="1" applyFill="1" applyBorder="1" applyAlignment="1">
      <alignment horizontal="center" vertical="center"/>
    </xf>
    <xf numFmtId="15" fontId="28" fillId="7" borderId="72" xfId="7" applyNumberFormat="1" applyFont="1" applyFill="1" applyBorder="1" applyAlignment="1">
      <alignment horizontal="center" vertical="center"/>
    </xf>
    <xf numFmtId="0" fontId="34" fillId="0" borderId="28" xfId="7" applyFont="1" applyBorder="1" applyAlignment="1">
      <alignment horizontal="left" vertical="center"/>
    </xf>
    <xf numFmtId="0" fontId="34" fillId="0" borderId="84" xfId="7" applyFont="1" applyBorder="1" applyAlignment="1">
      <alignment horizontal="left" vertical="center"/>
    </xf>
    <xf numFmtId="0" fontId="34" fillId="0" borderId="72" xfId="7" applyFont="1" applyBorder="1" applyAlignment="1">
      <alignment horizontal="left" vertical="center"/>
    </xf>
    <xf numFmtId="170" fontId="28" fillId="0" borderId="28" xfId="2" applyNumberFormat="1" applyFont="1" applyFill="1" applyBorder="1" applyAlignment="1">
      <alignment horizontal="center" vertical="center"/>
    </xf>
    <xf numFmtId="170" fontId="28" fillId="0" borderId="84" xfId="2" applyNumberFormat="1" applyFont="1" applyFill="1" applyBorder="1" applyAlignment="1">
      <alignment horizontal="center" vertical="center"/>
    </xf>
    <xf numFmtId="170" fontId="28" fillId="0" borderId="72" xfId="2" applyNumberFormat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/>
    </xf>
    <xf numFmtId="0" fontId="7" fillId="11" borderId="0" xfId="0" applyFont="1" applyFill="1" applyAlignment="1">
      <alignment horizontal="center"/>
    </xf>
    <xf numFmtId="0" fontId="8" fillId="11" borderId="0" xfId="0" applyFont="1" applyFill="1" applyAlignment="1">
      <alignment horizontal="left"/>
    </xf>
    <xf numFmtId="166" fontId="7" fillId="2" borderId="16" xfId="0" applyNumberFormat="1" applyFont="1" applyFill="1" applyBorder="1" applyAlignment="1">
      <alignment horizontal="center"/>
    </xf>
    <xf numFmtId="0" fontId="6" fillId="2" borderId="39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6" fillId="4" borderId="18" xfId="2" applyFont="1" applyFill="1" applyBorder="1" applyAlignment="1">
      <alignment horizontal="center" vertical="center" wrapText="1"/>
    </xf>
    <xf numFmtId="43" fontId="6" fillId="4" borderId="1" xfId="2" applyFont="1" applyFill="1" applyBorder="1" applyAlignment="1">
      <alignment horizontal="center" vertical="center" wrapText="1"/>
    </xf>
    <xf numFmtId="170" fontId="6" fillId="4" borderId="18" xfId="2" applyNumberFormat="1" applyFont="1" applyFill="1" applyBorder="1" applyAlignment="1">
      <alignment horizontal="center" vertical="center" wrapText="1"/>
    </xf>
    <xf numFmtId="170" fontId="6" fillId="4" borderId="1" xfId="2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3" fontId="6" fillId="4" borderId="110" xfId="2" applyFont="1" applyFill="1" applyBorder="1" applyAlignment="1">
      <alignment horizontal="center" vertical="center" wrapText="1"/>
    </xf>
    <xf numFmtId="43" fontId="6" fillId="4" borderId="7" xfId="2" applyFont="1" applyFill="1" applyBorder="1" applyAlignment="1">
      <alignment horizontal="center" vertical="center" wrapText="1"/>
    </xf>
    <xf numFmtId="43" fontId="6" fillId="4" borderId="101" xfId="2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3" fontId="6" fillId="4" borderId="18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6" fillId="4" borderId="14" xfId="1" applyFont="1" applyFill="1" applyBorder="1" applyAlignment="1">
      <alignment horizontal="center" vertical="center" wrapText="1"/>
    </xf>
    <xf numFmtId="0" fontId="6" fillId="15" borderId="20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/>
    </xf>
    <xf numFmtId="0" fontId="9" fillId="2" borderId="39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6" fillId="4" borderId="111" xfId="0" applyFont="1" applyFill="1" applyBorder="1" applyAlignment="1">
      <alignment horizontal="center" wrapText="1"/>
    </xf>
    <xf numFmtId="0" fontId="6" fillId="4" borderId="112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9" fillId="11" borderId="11" xfId="1" applyNumberFormat="1" applyFont="1" applyFill="1" applyBorder="1" applyAlignment="1">
      <alignment horizontal="left"/>
    </xf>
    <xf numFmtId="0" fontId="6" fillId="5" borderId="113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center"/>
    </xf>
    <xf numFmtId="0" fontId="6" fillId="4" borderId="111" xfId="0" applyFont="1" applyFill="1" applyBorder="1" applyAlignment="1">
      <alignment horizontal="center" vertical="center" wrapText="1"/>
    </xf>
    <xf numFmtId="0" fontId="6" fillId="4" borderId="11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/>
    </xf>
    <xf numFmtId="0" fontId="7" fillId="11" borderId="5" xfId="0" applyFont="1" applyFill="1" applyBorder="1" applyAlignment="1">
      <alignment horizontal="center"/>
    </xf>
    <xf numFmtId="0" fontId="20" fillId="15" borderId="73" xfId="0" applyFont="1" applyFill="1" applyBorder="1" applyAlignment="1">
      <alignment horizontal="center" wrapText="1"/>
    </xf>
    <xf numFmtId="0" fontId="20" fillId="15" borderId="1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left"/>
    </xf>
    <xf numFmtId="43" fontId="6" fillId="4" borderId="101" xfId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0" fillId="10" borderId="7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9" fillId="2" borderId="10" xfId="1" applyNumberFormat="1" applyFont="1" applyFill="1" applyBorder="1" applyAlignment="1">
      <alignment horizontal="left"/>
    </xf>
    <xf numFmtId="0" fontId="6" fillId="5" borderId="40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7" fillId="11" borderId="16" xfId="0" applyFont="1" applyFill="1" applyBorder="1" applyAlignment="1">
      <alignment horizontal="center"/>
    </xf>
    <xf numFmtId="0" fontId="6" fillId="3" borderId="115" xfId="0" applyFont="1" applyFill="1" applyBorder="1" applyAlignment="1">
      <alignment horizontal="center"/>
    </xf>
    <xf numFmtId="0" fontId="6" fillId="3" borderId="80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166" fontId="7" fillId="11" borderId="0" xfId="0" applyNumberFormat="1" applyFont="1" applyFill="1" applyAlignment="1">
      <alignment horizontal="center"/>
    </xf>
    <xf numFmtId="0" fontId="7" fillId="2" borderId="11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5" xfId="0" applyFont="1" applyFill="1" applyBorder="1" applyAlignment="1">
      <alignment horizontal="center"/>
    </xf>
    <xf numFmtId="43" fontId="6" fillId="3" borderId="117" xfId="1" applyFont="1" applyFill="1" applyBorder="1" applyAlignment="1">
      <alignment horizontal="left"/>
    </xf>
    <xf numFmtId="43" fontId="6" fillId="3" borderId="115" xfId="1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11" borderId="0" xfId="0" applyFont="1" applyFill="1" applyAlignment="1">
      <alignment horizontal="center"/>
    </xf>
    <xf numFmtId="0" fontId="6" fillId="4" borderId="86" xfId="0" applyFont="1" applyFill="1" applyBorder="1" applyAlignment="1">
      <alignment horizontal="center" vertical="center"/>
    </xf>
    <xf numFmtId="0" fontId="6" fillId="8" borderId="56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15" borderId="73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8" borderId="111" xfId="0" applyFont="1" applyFill="1" applyBorder="1" applyAlignment="1">
      <alignment horizontal="center" vertical="center" wrapText="1"/>
    </xf>
    <xf numFmtId="0" fontId="6" fillId="8" borderId="118" xfId="0" applyFont="1" applyFill="1" applyBorder="1" applyAlignment="1">
      <alignment horizontal="center" vertical="center" wrapText="1"/>
    </xf>
    <xf numFmtId="0" fontId="6" fillId="4" borderId="119" xfId="0" applyFont="1" applyFill="1" applyBorder="1" applyAlignment="1">
      <alignment horizontal="center" vertical="center" wrapText="1"/>
    </xf>
    <xf numFmtId="43" fontId="6" fillId="7" borderId="17" xfId="1" applyFont="1" applyFill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7" borderId="39" xfId="0" applyFont="1" applyFill="1" applyBorder="1" applyAlignment="1">
      <alignment horizontal="left"/>
    </xf>
    <xf numFmtId="0" fontId="6" fillId="4" borderId="120" xfId="0" applyFont="1" applyFill="1" applyBorder="1" applyAlignment="1">
      <alignment horizontal="center" wrapText="1"/>
    </xf>
    <xf numFmtId="43" fontId="42" fillId="28" borderId="5" xfId="1" applyFont="1" applyFill="1" applyBorder="1"/>
    <xf numFmtId="43" fontId="7" fillId="29" borderId="5" xfId="2" applyFont="1" applyFill="1" applyBorder="1" applyProtection="1"/>
    <xf numFmtId="43" fontId="7" fillId="30" borderId="5" xfId="1" applyFont="1" applyFill="1" applyBorder="1"/>
    <xf numFmtId="43" fontId="7" fillId="31" borderId="5" xfId="2" applyFont="1" applyFill="1" applyBorder="1"/>
    <xf numFmtId="43" fontId="7" fillId="32" borderId="5" xfId="2" applyFont="1" applyFill="1" applyBorder="1"/>
    <xf numFmtId="170" fontId="36" fillId="33" borderId="90" xfId="1" applyNumberFormat="1" applyFont="1" applyFill="1" applyBorder="1"/>
    <xf numFmtId="43" fontId="38" fillId="34" borderId="71" xfId="1" applyFont="1" applyFill="1" applyBorder="1"/>
    <xf numFmtId="43" fontId="38" fillId="34" borderId="37" xfId="1" applyFont="1" applyFill="1" applyBorder="1"/>
    <xf numFmtId="43" fontId="38" fillId="34" borderId="5" xfId="1" applyFont="1" applyFill="1" applyBorder="1"/>
    <xf numFmtId="43" fontId="38" fillId="34" borderId="4" xfId="1" applyFont="1" applyFill="1" applyBorder="1"/>
    <xf numFmtId="43" fontId="38" fillId="34" borderId="65" xfId="1" applyFont="1" applyFill="1" applyBorder="1"/>
    <xf numFmtId="43" fontId="38" fillId="34" borderId="97" xfId="1" applyFont="1" applyFill="1" applyBorder="1"/>
    <xf numFmtId="43" fontId="38" fillId="34" borderId="43" xfId="1" applyFont="1" applyFill="1" applyBorder="1"/>
    <xf applyFill="1" numFmtId="43" fontId="38" fillId="34" borderId="31" xfId="1" applyFont="1" applyBorder="1"/>
    <xf applyFill="1" numFmtId="43" fontId="38" fillId="34" borderId="33" xfId="1" applyFont="1" applyBorder="1"/>
  </cellXfs>
  <cellStyles count="13">
    <cellStyle name="Comma" xfId="1" builtinId="3"/>
    <cellStyle name="Comma 2" xfId="2" xr:uid="{25B68AA1-66B8-4612-9C6D-79BB397FDA03}"/>
    <cellStyle name="Comma 3" xfId="3" xr:uid="{EDB1BA30-2C07-4DF4-8323-1FD03DF111A9}"/>
    <cellStyle name="Currency" xfId="4" builtinId="4"/>
    <cellStyle name="Currency 2" xfId="5" xr:uid="{39F2F66A-F700-4187-BE96-84FCA55EF3A6}"/>
    <cellStyle name="Hyperlink" xfId="6" builtinId="8"/>
    <cellStyle name="Normal" xfId="0" builtinId="0"/>
    <cellStyle name="Normal 2" xfId="7" xr:uid="{534C035B-1C0E-45AB-9CCF-38751B7B0687}"/>
    <cellStyle name="Normal 2 2" xfId="8" xr:uid="{77035A93-C58B-456E-BC1D-6EABC8212756}"/>
    <cellStyle name="Normal 3" xfId="9" xr:uid="{804C15E8-4A91-4D26-AF1A-0D55639E1572}"/>
    <cellStyle name="Normal 4" xfId="10" xr:uid="{F4AF4FCE-ACF8-48BE-A75F-C688954D4555}"/>
    <cellStyle name="Percent" xfId="11" builtinId="5"/>
    <cellStyle name="Percent 2" xfId="12" xr:uid="{C982B025-388F-4621-BF22-55F62C56AA9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9F99-F4F7-4058-A212-18C4D4F3D40B}">
  <dimension ref="A1:G203"/>
  <sheetViews>
    <sheetView workbookViewId="0">
      <selection activeCell="D14" sqref="D14"/>
    </sheetView>
  </sheetViews>
  <sheetFormatPr defaultRowHeight="15.6" x14ac:dyDescent="0.3"/>
  <cols>
    <col min="1" max="1" width="10.36328125" customWidth="1"/>
    <col min="2" max="2" width="15.90625" customWidth="1"/>
    <col min="3" max="3" width="23.6328125" customWidth="1"/>
    <col min="4" max="4" width="20.54296875" style="270" customWidth="1"/>
    <col min="5" max="5" width="27.81640625" style="271" customWidth="1"/>
    <col min="6" max="6" width="30.90625" customWidth="1"/>
    <col min="7" max="7" width="22.7265625" customWidth="1"/>
    <col min="8" max="8" width="12" customWidth="1"/>
    <col min="9" max="10" width="11.1796875" bestFit="1" customWidth="1"/>
  </cols>
  <sheetData>
    <row r="1" spans="1:7" ht="25.8" x14ac:dyDescent="0.25">
      <c r="A1" s="905" t="s">
        <v>235</v>
      </c>
      <c r="B1" s="905"/>
      <c r="C1" s="905"/>
      <c r="D1" s="905"/>
      <c r="E1" s="905"/>
    </row>
    <row r="2" spans="1:7" ht="25.8" x14ac:dyDescent="0.25">
      <c r="A2" s="262"/>
      <c r="B2" s="262"/>
      <c r="C2" s="262"/>
      <c r="D2" s="263"/>
      <c r="E2" s="264"/>
    </row>
    <row r="3" spans="1:7" ht="18" x14ac:dyDescent="0.35">
      <c r="A3" s="265" t="s">
        <v>236</v>
      </c>
      <c r="B3" s="265" t="s">
        <v>11</v>
      </c>
      <c r="C3" s="265" t="s">
        <v>237</v>
      </c>
      <c r="D3" s="266" t="s">
        <v>238</v>
      </c>
      <c r="E3" s="267" t="s">
        <v>239</v>
      </c>
      <c r="F3" s="265" t="s">
        <v>240</v>
      </c>
    </row>
    <row r="4" spans="1:7" ht="18.600000000000001" thickBot="1" x14ac:dyDescent="0.4">
      <c r="A4" s="268"/>
      <c r="B4" s="268"/>
      <c r="C4" s="265"/>
      <c r="D4" s="267"/>
      <c r="E4" s="269"/>
    </row>
    <row r="5" spans="1:7" thickBot="1" x14ac:dyDescent="0.3">
      <c r="A5" s="906"/>
      <c r="B5" s="907"/>
      <c r="C5" s="907"/>
      <c r="D5" s="907"/>
      <c r="E5" s="907"/>
      <c r="F5" s="907"/>
      <c r="G5" s="908"/>
    </row>
    <row r="6" spans="1:7" x14ac:dyDescent="0.3">
      <c r="A6" s="902"/>
      <c r="B6" s="903"/>
      <c r="C6" s="903"/>
      <c r="D6" s="903"/>
      <c r="E6" s="904"/>
      <c r="F6" s="901">
        <f>SUM(E6:E39)</f>
        <v>550041075.25</v>
      </c>
      <c r="G6" s="898" t="s">
        <v>243</v>
      </c>
    </row>
    <row r="7" spans="1:7" ht="16.2" thickBot="1" x14ac:dyDescent="0.35">
      <c r="A7" s="284">
        <v>44867</v>
      </c>
      <c r="B7" s="277"/>
      <c r="C7" s="277"/>
      <c r="D7" s="277"/>
      <c r="E7" s="278"/>
      <c r="F7" s="899"/>
      <c r="G7" s="899"/>
    </row>
    <row r="8" spans="1:7" ht="16.2" thickBot="1" x14ac:dyDescent="0.35">
      <c r="A8" s="285">
        <v>44868</v>
      </c>
      <c r="B8" s="273" t="s">
        <v>222</v>
      </c>
      <c r="C8" s="273" t="s">
        <v>244</v>
      </c>
      <c r="D8" s="274"/>
      <c r="E8" s="275">
        <v>28186000</v>
      </c>
      <c r="F8" s="899"/>
      <c r="G8" s="899"/>
    </row>
    <row r="9" spans="1:7" ht="16.2" thickBot="1" x14ac:dyDescent="0.35">
      <c r="A9" s="284">
        <v>44869</v>
      </c>
      <c r="B9" s="277"/>
      <c r="C9" s="277"/>
      <c r="D9" s="277"/>
      <c r="E9" s="278"/>
      <c r="F9" s="899"/>
      <c r="G9" s="899"/>
    </row>
    <row r="10" spans="1:7" ht="16.2" thickBot="1" x14ac:dyDescent="0.35">
      <c r="A10" s="284">
        <v>44870</v>
      </c>
      <c r="B10" s="277"/>
      <c r="C10" s="277"/>
      <c r="D10" s="277"/>
      <c r="E10" s="278"/>
      <c r="F10" s="899"/>
      <c r="G10" s="899"/>
    </row>
    <row r="11" spans="1:7" ht="16.2" thickBot="1" x14ac:dyDescent="0.35">
      <c r="A11" s="285">
        <v>44871</v>
      </c>
      <c r="B11" s="273" t="s">
        <v>221</v>
      </c>
      <c r="C11" s="273" t="s">
        <v>242</v>
      </c>
      <c r="D11" s="274"/>
      <c r="E11" s="275">
        <v>25798500</v>
      </c>
      <c r="F11" s="899"/>
      <c r="G11" s="899"/>
    </row>
    <row r="12" spans="1:7" ht="16.2" thickBot="1" x14ac:dyDescent="0.35">
      <c r="A12" s="285"/>
      <c r="B12" s="273" t="s">
        <v>205</v>
      </c>
      <c r="C12" s="273" t="s">
        <v>241</v>
      </c>
      <c r="D12" s="274"/>
      <c r="E12" s="275">
        <v>7404880</v>
      </c>
      <c r="F12" s="899"/>
      <c r="G12" s="899"/>
    </row>
    <row r="13" spans="1:7" ht="16.2" thickBot="1" x14ac:dyDescent="0.35">
      <c r="A13" s="284">
        <v>44872</v>
      </c>
      <c r="B13" s="277"/>
      <c r="C13" s="277"/>
      <c r="D13" s="277"/>
      <c r="E13" s="278"/>
      <c r="F13" s="899"/>
      <c r="G13" s="899"/>
    </row>
    <row r="14" spans="1:7" ht="16.2" thickBot="1" x14ac:dyDescent="0.35">
      <c r="A14" s="284">
        <v>44873</v>
      </c>
      <c r="B14" s="277"/>
      <c r="C14" s="277"/>
      <c r="D14" s="277"/>
      <c r="E14" s="278"/>
      <c r="F14" s="899"/>
      <c r="G14" s="899"/>
    </row>
    <row r="15" spans="1:7" ht="16.2" thickBot="1" x14ac:dyDescent="0.35">
      <c r="A15" s="285">
        <v>44874</v>
      </c>
      <c r="B15" s="273" t="s">
        <v>205</v>
      </c>
      <c r="C15" s="273" t="s">
        <v>241</v>
      </c>
      <c r="D15" s="274"/>
      <c r="E15" s="275">
        <v>74923200</v>
      </c>
      <c r="F15" s="899"/>
      <c r="G15" s="899"/>
    </row>
    <row r="16" spans="1:7" ht="16.2" thickBot="1" x14ac:dyDescent="0.35">
      <c r="A16" s="284">
        <v>44875</v>
      </c>
      <c r="B16" s="277"/>
      <c r="C16" s="277"/>
      <c r="D16" s="277"/>
      <c r="E16" s="278"/>
      <c r="F16" s="899"/>
      <c r="G16" s="899"/>
    </row>
    <row r="17" spans="1:7" ht="16.2" thickBot="1" x14ac:dyDescent="0.35">
      <c r="A17" s="284">
        <v>44876</v>
      </c>
      <c r="B17" s="277"/>
      <c r="C17" s="277"/>
      <c r="D17" s="277"/>
      <c r="E17" s="278"/>
      <c r="F17" s="899"/>
      <c r="G17" s="899"/>
    </row>
    <row r="18" spans="1:7" ht="16.2" thickBot="1" x14ac:dyDescent="0.35">
      <c r="A18" s="284">
        <v>44877</v>
      </c>
      <c r="B18" s="273" t="s">
        <v>207</v>
      </c>
      <c r="C18" s="273" t="s">
        <v>241</v>
      </c>
      <c r="D18" s="274"/>
      <c r="E18" s="275">
        <v>40984992</v>
      </c>
      <c r="F18" s="899"/>
      <c r="G18" s="899"/>
    </row>
    <row r="19" spans="1:7" ht="16.2" thickBot="1" x14ac:dyDescent="0.35">
      <c r="A19" s="284"/>
      <c r="B19" s="273" t="s">
        <v>207</v>
      </c>
      <c r="C19" s="273" t="s">
        <v>241</v>
      </c>
      <c r="D19" s="274"/>
      <c r="E19" s="275">
        <v>99942131.25</v>
      </c>
      <c r="F19" s="899"/>
      <c r="G19" s="899"/>
    </row>
    <row r="20" spans="1:7" ht="16.2" thickBot="1" x14ac:dyDescent="0.35">
      <c r="A20" s="285">
        <v>44878</v>
      </c>
      <c r="B20" s="273"/>
      <c r="C20" s="273"/>
      <c r="D20" s="274"/>
      <c r="E20" s="275"/>
      <c r="F20" s="899"/>
      <c r="G20" s="899"/>
    </row>
    <row r="21" spans="1:7" ht="16.2" thickBot="1" x14ac:dyDescent="0.35">
      <c r="A21" s="284">
        <v>44879</v>
      </c>
      <c r="B21" s="277"/>
      <c r="C21" s="277"/>
      <c r="D21" s="277"/>
      <c r="E21" s="278"/>
      <c r="F21" s="899"/>
      <c r="G21" s="899"/>
    </row>
    <row r="22" spans="1:7" ht="16.2" thickBot="1" x14ac:dyDescent="0.35">
      <c r="A22" s="285">
        <v>44880</v>
      </c>
      <c r="B22" s="273" t="s">
        <v>69</v>
      </c>
      <c r="C22" s="273" t="s">
        <v>241</v>
      </c>
      <c r="D22" s="274"/>
      <c r="E22" s="275">
        <v>9003000</v>
      </c>
      <c r="F22" s="899"/>
      <c r="G22" s="899"/>
    </row>
    <row r="23" spans="1:7" ht="16.2" thickBot="1" x14ac:dyDescent="0.35">
      <c r="A23" s="285">
        <v>44881</v>
      </c>
      <c r="B23" s="273" t="s">
        <v>207</v>
      </c>
      <c r="C23" s="273" t="s">
        <v>241</v>
      </c>
      <c r="D23" s="274"/>
      <c r="E23" s="275">
        <v>51718950</v>
      </c>
      <c r="F23" s="899"/>
      <c r="G23" s="899"/>
    </row>
    <row r="24" spans="1:7" ht="16.2" thickBot="1" x14ac:dyDescent="0.35">
      <c r="A24" s="284">
        <v>44882</v>
      </c>
      <c r="B24" s="277"/>
      <c r="C24" s="277"/>
      <c r="D24" s="277"/>
      <c r="E24" s="278"/>
      <c r="F24" s="899"/>
      <c r="G24" s="899"/>
    </row>
    <row r="25" spans="1:7" ht="16.2" thickBot="1" x14ac:dyDescent="0.35">
      <c r="A25" s="284">
        <v>44883</v>
      </c>
      <c r="B25" s="277"/>
      <c r="C25" s="277"/>
      <c r="D25" s="277"/>
      <c r="E25" s="278"/>
      <c r="F25" s="899"/>
      <c r="G25" s="899"/>
    </row>
    <row r="26" spans="1:7" ht="16.2" thickBot="1" x14ac:dyDescent="0.35">
      <c r="A26" s="285">
        <v>44884</v>
      </c>
      <c r="B26" s="273" t="s">
        <v>205</v>
      </c>
      <c r="C26" s="273" t="s">
        <v>241</v>
      </c>
      <c r="D26" s="274"/>
      <c r="E26" s="275">
        <v>36984300</v>
      </c>
      <c r="F26" s="899"/>
      <c r="G26" s="899"/>
    </row>
    <row r="27" spans="1:7" ht="16.2" thickBot="1" x14ac:dyDescent="0.35">
      <c r="A27" s="285">
        <v>44885</v>
      </c>
      <c r="B27" s="273" t="s">
        <v>91</v>
      </c>
      <c r="C27" s="273" t="s">
        <v>241</v>
      </c>
      <c r="D27" s="274"/>
      <c r="E27" s="275">
        <f>18821000-1821000</f>
        <v>17000000</v>
      </c>
      <c r="F27" s="899"/>
      <c r="G27" s="899"/>
    </row>
    <row r="28" spans="1:7" ht="16.2" thickBot="1" x14ac:dyDescent="0.35">
      <c r="A28" s="285">
        <v>44886</v>
      </c>
      <c r="B28" s="273" t="s">
        <v>67</v>
      </c>
      <c r="C28" s="273" t="s">
        <v>241</v>
      </c>
      <c r="D28" s="274"/>
      <c r="E28" s="275">
        <f>22725000-2272500</f>
        <v>20452500</v>
      </c>
      <c r="F28" s="899"/>
      <c r="G28" s="899"/>
    </row>
    <row r="29" spans="1:7" ht="16.2" thickBot="1" x14ac:dyDescent="0.35">
      <c r="A29" s="285"/>
      <c r="B29" s="273" t="s">
        <v>67</v>
      </c>
      <c r="C29" s="273" t="s">
        <v>241</v>
      </c>
      <c r="D29" s="274"/>
      <c r="E29" s="275">
        <v>16505232</v>
      </c>
      <c r="F29" s="899"/>
      <c r="G29" s="899"/>
    </row>
    <row r="30" spans="1:7" ht="16.2" thickBot="1" x14ac:dyDescent="0.35">
      <c r="A30" s="285"/>
      <c r="B30" s="273" t="s">
        <v>67</v>
      </c>
      <c r="C30" s="273" t="s">
        <v>241</v>
      </c>
      <c r="D30" s="274"/>
      <c r="E30" s="275">
        <v>12500286</v>
      </c>
      <c r="F30" s="899"/>
      <c r="G30" s="899"/>
    </row>
    <row r="31" spans="1:7" ht="16.2" thickBot="1" x14ac:dyDescent="0.35">
      <c r="A31" s="284">
        <v>44887</v>
      </c>
      <c r="B31" s="277"/>
      <c r="C31" s="277"/>
      <c r="D31" s="277"/>
      <c r="E31" s="278"/>
      <c r="F31" s="899"/>
      <c r="G31" s="899"/>
    </row>
    <row r="32" spans="1:7" ht="16.2" thickBot="1" x14ac:dyDescent="0.35">
      <c r="A32" s="284">
        <v>44888</v>
      </c>
      <c r="B32" s="277"/>
      <c r="C32" s="277"/>
      <c r="D32" s="277"/>
      <c r="E32" s="278"/>
      <c r="F32" s="899"/>
      <c r="G32" s="899"/>
    </row>
    <row r="33" spans="1:7" ht="16.2" thickBot="1" x14ac:dyDescent="0.35">
      <c r="A33" s="285">
        <v>44889</v>
      </c>
      <c r="B33" s="273" t="s">
        <v>68</v>
      </c>
      <c r="C33" s="273" t="s">
        <v>241</v>
      </c>
      <c r="D33" s="274"/>
      <c r="E33" s="275">
        <v>23201640</v>
      </c>
      <c r="F33" s="899"/>
      <c r="G33" s="899"/>
    </row>
    <row r="34" spans="1:7" ht="16.2" thickBot="1" x14ac:dyDescent="0.35">
      <c r="A34" s="284">
        <v>44890</v>
      </c>
      <c r="B34" s="277"/>
      <c r="C34" s="277"/>
      <c r="D34" s="277"/>
      <c r="E34" s="278"/>
      <c r="F34" s="899"/>
      <c r="G34" s="899"/>
    </row>
    <row r="35" spans="1:7" ht="16.2" thickBot="1" x14ac:dyDescent="0.35">
      <c r="A35" s="284">
        <v>44891</v>
      </c>
      <c r="B35" s="277"/>
      <c r="C35" s="277"/>
      <c r="D35" s="277"/>
      <c r="E35" s="278"/>
      <c r="F35" s="899"/>
      <c r="G35" s="899"/>
    </row>
    <row r="36" spans="1:7" ht="16.2" thickBot="1" x14ac:dyDescent="0.35">
      <c r="A36" s="285">
        <v>44892</v>
      </c>
      <c r="B36" s="273" t="s">
        <v>222</v>
      </c>
      <c r="C36" s="273" t="s">
        <v>244</v>
      </c>
      <c r="D36" s="274"/>
      <c r="E36" s="275">
        <v>65541000</v>
      </c>
      <c r="F36" s="899"/>
      <c r="G36" s="899"/>
    </row>
    <row r="37" spans="1:7" ht="16.2" thickBot="1" x14ac:dyDescent="0.35">
      <c r="A37" s="284">
        <v>44893</v>
      </c>
      <c r="B37" s="277"/>
      <c r="C37" s="277"/>
      <c r="D37" s="277"/>
      <c r="E37" s="278"/>
      <c r="F37" s="899"/>
      <c r="G37" s="899"/>
    </row>
    <row r="38" spans="1:7" ht="16.2" thickBot="1" x14ac:dyDescent="0.35">
      <c r="A38" s="285">
        <v>44894</v>
      </c>
      <c r="B38" s="273" t="s">
        <v>205</v>
      </c>
      <c r="C38" s="273" t="s">
        <v>241</v>
      </c>
      <c r="D38" s="274"/>
      <c r="E38" s="275">
        <v>19894464</v>
      </c>
      <c r="F38" s="899"/>
      <c r="G38" s="899"/>
    </row>
    <row r="39" spans="1:7" ht="16.2" thickBot="1" x14ac:dyDescent="0.35">
      <c r="A39" s="284">
        <v>44895</v>
      </c>
      <c r="B39" s="280"/>
      <c r="C39" s="280"/>
      <c r="D39" s="280"/>
      <c r="E39" s="281"/>
      <c r="F39" s="900"/>
      <c r="G39" s="900"/>
    </row>
    <row r="40" spans="1:7" ht="16.2" thickBot="1" x14ac:dyDescent="0.35">
      <c r="A40" s="284">
        <v>44896</v>
      </c>
      <c r="B40" s="286"/>
      <c r="C40" s="282"/>
      <c r="D40" s="282"/>
      <c r="E40" s="283"/>
      <c r="F40" s="901">
        <f>SUM(E40:E74)</f>
        <v>333623600</v>
      </c>
      <c r="G40" s="898" t="s">
        <v>245</v>
      </c>
    </row>
    <row r="41" spans="1:7" ht="16.2" thickBot="1" x14ac:dyDescent="0.35">
      <c r="A41" s="284">
        <v>44897</v>
      </c>
      <c r="B41" s="276"/>
      <c r="C41" s="277"/>
      <c r="D41" s="277"/>
      <c r="E41" s="278"/>
      <c r="F41" s="899"/>
      <c r="G41" s="899"/>
    </row>
    <row r="42" spans="1:7" ht="16.2" thickBot="1" x14ac:dyDescent="0.35">
      <c r="A42" s="284">
        <v>44898</v>
      </c>
      <c r="B42" s="276"/>
      <c r="C42" s="277"/>
      <c r="D42" s="277"/>
      <c r="E42" s="278"/>
      <c r="F42" s="899"/>
      <c r="G42" s="899"/>
    </row>
    <row r="43" spans="1:7" ht="16.2" thickBot="1" x14ac:dyDescent="0.35">
      <c r="A43" s="284">
        <v>44899</v>
      </c>
      <c r="B43" s="276"/>
      <c r="C43" s="277"/>
      <c r="D43" s="277"/>
      <c r="E43" s="278"/>
      <c r="F43" s="899"/>
      <c r="G43" s="899"/>
    </row>
    <row r="44" spans="1:7" ht="16.2" thickBot="1" x14ac:dyDescent="0.35">
      <c r="A44" s="284">
        <v>44900</v>
      </c>
      <c r="B44" s="276"/>
      <c r="C44" s="277"/>
      <c r="D44" s="277"/>
      <c r="E44" s="278"/>
      <c r="F44" s="899"/>
      <c r="G44" s="899"/>
    </row>
    <row r="45" spans="1:7" ht="16.2" thickBot="1" x14ac:dyDescent="0.35">
      <c r="A45" s="284">
        <v>44901</v>
      </c>
      <c r="B45" s="276"/>
      <c r="C45" s="277"/>
      <c r="D45" s="277"/>
      <c r="E45" s="278"/>
      <c r="F45" s="899"/>
      <c r="G45" s="899"/>
    </row>
    <row r="46" spans="1:7" ht="16.2" thickBot="1" x14ac:dyDescent="0.35">
      <c r="A46" s="284">
        <v>44902</v>
      </c>
      <c r="B46" s="276"/>
      <c r="C46" s="277"/>
      <c r="D46" s="277"/>
      <c r="E46" s="278"/>
      <c r="F46" s="899"/>
      <c r="G46" s="899"/>
    </row>
    <row r="47" spans="1:7" ht="16.2" thickBot="1" x14ac:dyDescent="0.35">
      <c r="A47" s="284">
        <v>44903</v>
      </c>
      <c r="B47" s="276"/>
      <c r="C47" s="277"/>
      <c r="D47" s="277"/>
      <c r="E47" s="278"/>
      <c r="F47" s="899"/>
      <c r="G47" s="899"/>
    </row>
    <row r="48" spans="1:7" ht="16.2" thickBot="1" x14ac:dyDescent="0.35">
      <c r="A48" s="285">
        <v>44904</v>
      </c>
      <c r="B48" s="272" t="s">
        <v>91</v>
      </c>
      <c r="C48" s="273" t="s">
        <v>241</v>
      </c>
      <c r="D48" s="274"/>
      <c r="E48" s="275">
        <v>13647000</v>
      </c>
      <c r="F48" s="899"/>
      <c r="G48" s="899"/>
    </row>
    <row r="49" spans="1:7" ht="16.2" thickBot="1" x14ac:dyDescent="0.35">
      <c r="A49" s="285"/>
      <c r="B49" s="272" t="s">
        <v>91</v>
      </c>
      <c r="C49" s="273" t="s">
        <v>241</v>
      </c>
      <c r="D49" s="274"/>
      <c r="E49" s="275">
        <v>16360000</v>
      </c>
      <c r="F49" s="899"/>
      <c r="G49" s="899"/>
    </row>
    <row r="50" spans="1:7" ht="16.2" thickBot="1" x14ac:dyDescent="0.35">
      <c r="A50" s="284">
        <v>44905</v>
      </c>
      <c r="B50" s="276"/>
      <c r="C50" s="277"/>
      <c r="D50" s="277"/>
      <c r="E50" s="278"/>
      <c r="F50" s="899"/>
      <c r="G50" s="899"/>
    </row>
    <row r="51" spans="1:7" ht="16.2" thickBot="1" x14ac:dyDescent="0.35">
      <c r="A51" s="285">
        <v>44906</v>
      </c>
      <c r="B51" s="272" t="s">
        <v>221</v>
      </c>
      <c r="C51" s="273" t="s">
        <v>242</v>
      </c>
      <c r="D51" s="274"/>
      <c r="E51" s="275">
        <v>27747350</v>
      </c>
      <c r="F51" s="899"/>
      <c r="G51" s="899"/>
    </row>
    <row r="52" spans="1:7" ht="16.2" thickBot="1" x14ac:dyDescent="0.35">
      <c r="A52" s="285"/>
      <c r="B52" s="272" t="s">
        <v>222</v>
      </c>
      <c r="C52" s="273" t="s">
        <v>244</v>
      </c>
      <c r="D52" s="274"/>
      <c r="E52" s="275">
        <v>82173000</v>
      </c>
      <c r="F52" s="899"/>
      <c r="G52" s="899"/>
    </row>
    <row r="53" spans="1:7" ht="16.2" thickBot="1" x14ac:dyDescent="0.35">
      <c r="A53" s="285"/>
      <c r="B53" s="272" t="s">
        <v>222</v>
      </c>
      <c r="C53" s="273" t="s">
        <v>244</v>
      </c>
      <c r="D53" s="274"/>
      <c r="E53" s="275">
        <v>29203000</v>
      </c>
      <c r="F53" s="899"/>
      <c r="G53" s="899"/>
    </row>
    <row r="54" spans="1:7" ht="16.2" thickBot="1" x14ac:dyDescent="0.35">
      <c r="A54" s="284">
        <v>44907</v>
      </c>
      <c r="B54" s="276"/>
      <c r="C54" s="277"/>
      <c r="D54" s="277"/>
      <c r="E54" s="278"/>
      <c r="F54" s="899"/>
      <c r="G54" s="899"/>
    </row>
    <row r="55" spans="1:7" ht="16.2" thickBot="1" x14ac:dyDescent="0.35">
      <c r="A55" s="284">
        <v>44908</v>
      </c>
      <c r="B55" s="276"/>
      <c r="C55" s="277"/>
      <c r="D55" s="277"/>
      <c r="E55" s="278"/>
      <c r="F55" s="899"/>
      <c r="G55" s="899"/>
    </row>
    <row r="56" spans="1:7" ht="16.2" thickBot="1" x14ac:dyDescent="0.35">
      <c r="A56" s="285">
        <v>44909</v>
      </c>
      <c r="B56" s="272" t="s">
        <v>69</v>
      </c>
      <c r="C56" s="273" t="s">
        <v>241</v>
      </c>
      <c r="D56" s="274"/>
      <c r="E56" s="275">
        <v>3498000</v>
      </c>
      <c r="F56" s="899"/>
      <c r="G56" s="899"/>
    </row>
    <row r="57" spans="1:7" ht="16.2" thickBot="1" x14ac:dyDescent="0.35">
      <c r="A57" s="285"/>
      <c r="B57" s="272" t="s">
        <v>69</v>
      </c>
      <c r="C57" s="273" t="s">
        <v>241</v>
      </c>
      <c r="D57" s="274"/>
      <c r="E57" s="275">
        <v>45815000</v>
      </c>
      <c r="F57" s="899"/>
      <c r="G57" s="899"/>
    </row>
    <row r="58" spans="1:7" ht="16.2" thickBot="1" x14ac:dyDescent="0.35">
      <c r="A58" s="284">
        <v>44910</v>
      </c>
      <c r="B58" s="276"/>
      <c r="C58" s="277"/>
      <c r="D58" s="277"/>
      <c r="E58" s="278"/>
      <c r="F58" s="899"/>
      <c r="G58" s="899"/>
    </row>
    <row r="59" spans="1:7" ht="16.2" thickBot="1" x14ac:dyDescent="0.35">
      <c r="A59" s="284">
        <v>44911</v>
      </c>
      <c r="B59" s="276"/>
      <c r="C59" s="277"/>
      <c r="D59" s="277"/>
      <c r="E59" s="278"/>
      <c r="F59" s="899"/>
      <c r="G59" s="899"/>
    </row>
    <row r="60" spans="1:7" ht="16.2" thickBot="1" x14ac:dyDescent="0.35">
      <c r="A60" s="284">
        <v>44912</v>
      </c>
      <c r="B60" s="276"/>
      <c r="C60" s="277"/>
      <c r="D60" s="277"/>
      <c r="E60" s="278"/>
      <c r="F60" s="899"/>
      <c r="G60" s="899"/>
    </row>
    <row r="61" spans="1:7" ht="16.2" thickBot="1" x14ac:dyDescent="0.35">
      <c r="A61" s="284">
        <v>44913</v>
      </c>
      <c r="B61" s="276"/>
      <c r="C61" s="277"/>
      <c r="D61" s="277"/>
      <c r="E61" s="278"/>
      <c r="F61" s="899"/>
      <c r="G61" s="899"/>
    </row>
    <row r="62" spans="1:7" ht="16.2" thickBot="1" x14ac:dyDescent="0.35">
      <c r="A62" s="284">
        <v>44914</v>
      </c>
      <c r="B62" s="276"/>
      <c r="C62" s="277"/>
      <c r="D62" s="277"/>
      <c r="E62" s="278"/>
      <c r="F62" s="899"/>
      <c r="G62" s="899"/>
    </row>
    <row r="63" spans="1:7" ht="16.2" thickBot="1" x14ac:dyDescent="0.35">
      <c r="A63" s="285">
        <v>44915</v>
      </c>
      <c r="B63" s="272" t="s">
        <v>205</v>
      </c>
      <c r="C63" s="273" t="s">
        <v>241</v>
      </c>
      <c r="D63" s="274"/>
      <c r="E63" s="275">
        <v>101583250</v>
      </c>
      <c r="F63" s="899"/>
      <c r="G63" s="899"/>
    </row>
    <row r="64" spans="1:7" ht="16.2" thickBot="1" x14ac:dyDescent="0.35">
      <c r="A64" s="284">
        <v>44916</v>
      </c>
      <c r="B64" s="276"/>
      <c r="C64" s="277"/>
      <c r="D64" s="277"/>
      <c r="E64" s="278"/>
      <c r="F64" s="899"/>
      <c r="G64" s="899"/>
    </row>
    <row r="65" spans="1:7" ht="16.2" thickBot="1" x14ac:dyDescent="0.35">
      <c r="A65" s="284">
        <v>44917</v>
      </c>
      <c r="B65" s="276"/>
      <c r="C65" s="277"/>
      <c r="D65" s="277"/>
      <c r="E65" s="278"/>
      <c r="F65" s="899"/>
      <c r="G65" s="899"/>
    </row>
    <row r="66" spans="1:7" ht="16.2" thickBot="1" x14ac:dyDescent="0.35">
      <c r="A66" s="284">
        <v>44918</v>
      </c>
      <c r="B66" s="276"/>
      <c r="C66" s="277"/>
      <c r="D66" s="277"/>
      <c r="E66" s="278"/>
      <c r="F66" s="899"/>
      <c r="G66" s="899"/>
    </row>
    <row r="67" spans="1:7" ht="16.2" thickBot="1" x14ac:dyDescent="0.35">
      <c r="A67" s="284">
        <v>44919</v>
      </c>
      <c r="B67" s="276"/>
      <c r="C67" s="277"/>
      <c r="D67" s="277"/>
      <c r="E67" s="278"/>
      <c r="F67" s="899"/>
      <c r="G67" s="899"/>
    </row>
    <row r="68" spans="1:7" ht="16.2" thickBot="1" x14ac:dyDescent="0.35">
      <c r="A68" s="285">
        <v>44920</v>
      </c>
      <c r="B68" s="272" t="s">
        <v>222</v>
      </c>
      <c r="C68" s="273" t="s">
        <v>244</v>
      </c>
      <c r="D68" s="274"/>
      <c r="E68" s="275">
        <v>13597000</v>
      </c>
      <c r="F68" s="899"/>
      <c r="G68" s="899"/>
    </row>
    <row r="69" spans="1:7" ht="16.2" thickBot="1" x14ac:dyDescent="0.35">
      <c r="A69" s="284">
        <v>44921</v>
      </c>
      <c r="B69" s="276"/>
      <c r="C69" s="277"/>
      <c r="D69" s="277"/>
      <c r="E69" s="278"/>
      <c r="F69" s="899"/>
      <c r="G69" s="899"/>
    </row>
    <row r="70" spans="1:7" ht="16.2" thickBot="1" x14ac:dyDescent="0.35">
      <c r="A70" s="284">
        <v>44922</v>
      </c>
      <c r="B70" s="276"/>
      <c r="C70" s="277"/>
      <c r="D70" s="277"/>
      <c r="E70" s="278"/>
      <c r="F70" s="899"/>
      <c r="G70" s="899"/>
    </row>
    <row r="71" spans="1:7" ht="16.2" thickBot="1" x14ac:dyDescent="0.35">
      <c r="A71" s="284">
        <v>44923</v>
      </c>
      <c r="B71" s="276"/>
      <c r="C71" s="277"/>
      <c r="D71" s="277"/>
      <c r="E71" s="278"/>
      <c r="F71" s="899"/>
      <c r="G71" s="899"/>
    </row>
    <row r="72" spans="1:7" ht="16.2" thickBot="1" x14ac:dyDescent="0.35">
      <c r="A72" s="284">
        <v>44924</v>
      </c>
      <c r="B72" s="276"/>
      <c r="C72" s="277"/>
      <c r="D72" s="277"/>
      <c r="E72" s="278"/>
      <c r="F72" s="899"/>
      <c r="G72" s="899"/>
    </row>
    <row r="73" spans="1:7" ht="16.2" thickBot="1" x14ac:dyDescent="0.35">
      <c r="A73" s="284">
        <v>44925</v>
      </c>
      <c r="B73" s="276"/>
      <c r="C73" s="277"/>
      <c r="D73" s="277"/>
      <c r="E73" s="278"/>
      <c r="F73" s="899"/>
      <c r="G73" s="899"/>
    </row>
    <row r="74" spans="1:7" ht="16.2" thickBot="1" x14ac:dyDescent="0.35">
      <c r="A74" s="284">
        <v>44926</v>
      </c>
      <c r="B74" s="279"/>
      <c r="C74" s="280"/>
      <c r="D74" s="280"/>
      <c r="E74" s="281"/>
      <c r="F74" s="900"/>
      <c r="G74" s="900"/>
    </row>
    <row r="75" spans="1:7" ht="16.2" thickBot="1" x14ac:dyDescent="0.35">
      <c r="A75" s="285">
        <v>44927</v>
      </c>
      <c r="B75" s="287" t="s">
        <v>205</v>
      </c>
      <c r="C75" s="288" t="s">
        <v>241</v>
      </c>
      <c r="D75" s="289"/>
      <c r="E75" s="290">
        <v>20207000</v>
      </c>
      <c r="F75" s="901">
        <f>SUM(E75:E107)</f>
        <v>152641240.30000001</v>
      </c>
      <c r="G75" s="898" t="s">
        <v>246</v>
      </c>
    </row>
    <row r="76" spans="1:7" ht="16.2" thickBot="1" x14ac:dyDescent="0.35">
      <c r="A76" s="291">
        <v>44928</v>
      </c>
      <c r="B76" s="296" t="s">
        <v>215</v>
      </c>
      <c r="C76" s="274" t="s">
        <v>250</v>
      </c>
      <c r="D76" s="274"/>
      <c r="E76" s="275">
        <v>14916000</v>
      </c>
      <c r="F76" s="899"/>
      <c r="G76" s="899"/>
    </row>
    <row r="77" spans="1:7" ht="16.2" thickBot="1" x14ac:dyDescent="0.35">
      <c r="A77" s="285">
        <v>44929</v>
      </c>
      <c r="B77" s="272" t="s">
        <v>69</v>
      </c>
      <c r="C77" s="273" t="s">
        <v>241</v>
      </c>
      <c r="D77" s="274"/>
      <c r="E77" s="275">
        <v>10990000</v>
      </c>
      <c r="F77" s="899"/>
      <c r="G77" s="899"/>
    </row>
    <row r="78" spans="1:7" ht="16.2" thickBot="1" x14ac:dyDescent="0.35">
      <c r="A78" s="284">
        <v>44930</v>
      </c>
      <c r="B78" s="276"/>
      <c r="C78" s="277"/>
      <c r="D78" s="277"/>
      <c r="E78" s="278"/>
      <c r="F78" s="899"/>
      <c r="G78" s="899"/>
    </row>
    <row r="79" spans="1:7" ht="16.2" thickBot="1" x14ac:dyDescent="0.35">
      <c r="A79" s="284">
        <v>44931</v>
      </c>
      <c r="B79" s="276"/>
      <c r="C79" s="277"/>
      <c r="D79" s="277"/>
      <c r="E79" s="278"/>
      <c r="F79" s="899"/>
      <c r="G79" s="899"/>
    </row>
    <row r="80" spans="1:7" ht="16.2" thickBot="1" x14ac:dyDescent="0.35">
      <c r="A80" s="284">
        <v>44932</v>
      </c>
      <c r="B80" s="276"/>
      <c r="C80" s="277"/>
      <c r="D80" s="277"/>
      <c r="E80" s="278"/>
      <c r="F80" s="899"/>
      <c r="G80" s="899"/>
    </row>
    <row r="81" spans="1:7" ht="16.2" thickBot="1" x14ac:dyDescent="0.35">
      <c r="A81" s="284">
        <v>44933</v>
      </c>
      <c r="B81" s="276"/>
      <c r="C81" s="277"/>
      <c r="D81" s="277"/>
      <c r="E81" s="278"/>
      <c r="F81" s="899"/>
      <c r="G81" s="899"/>
    </row>
    <row r="82" spans="1:7" ht="16.2" thickBot="1" x14ac:dyDescent="0.35">
      <c r="A82" s="284">
        <v>44934</v>
      </c>
      <c r="B82" s="276"/>
      <c r="C82" s="277"/>
      <c r="D82" s="277"/>
      <c r="E82" s="278"/>
      <c r="F82" s="899"/>
      <c r="G82" s="899"/>
    </row>
    <row r="83" spans="1:7" ht="16.2" thickBot="1" x14ac:dyDescent="0.35">
      <c r="A83" s="284">
        <v>44935</v>
      </c>
      <c r="B83" s="276"/>
      <c r="C83" s="277"/>
      <c r="D83" s="277"/>
      <c r="E83" s="278"/>
      <c r="F83" s="899"/>
      <c r="G83" s="899"/>
    </row>
    <row r="84" spans="1:7" ht="16.2" thickBot="1" x14ac:dyDescent="0.35">
      <c r="A84" s="291">
        <v>44936</v>
      </c>
      <c r="B84" s="296" t="s">
        <v>215</v>
      </c>
      <c r="C84" s="274" t="s">
        <v>250</v>
      </c>
      <c r="D84" s="274"/>
      <c r="E84" s="275">
        <v>9438544.5</v>
      </c>
      <c r="F84" s="899"/>
      <c r="G84" s="899"/>
    </row>
    <row r="85" spans="1:7" ht="16.2" thickBot="1" x14ac:dyDescent="0.35">
      <c r="A85" s="291"/>
      <c r="B85" s="296" t="s">
        <v>215</v>
      </c>
      <c r="C85" s="274" t="s">
        <v>250</v>
      </c>
      <c r="D85" s="274"/>
      <c r="E85" s="275">
        <v>1726150</v>
      </c>
      <c r="F85" s="899"/>
      <c r="G85" s="899"/>
    </row>
    <row r="86" spans="1:7" ht="16.2" thickBot="1" x14ac:dyDescent="0.35">
      <c r="A86" s="284">
        <v>44937</v>
      </c>
      <c r="B86" s="276"/>
      <c r="C86" s="277"/>
      <c r="D86" s="277"/>
      <c r="E86" s="278"/>
      <c r="F86" s="899"/>
      <c r="G86" s="899"/>
    </row>
    <row r="87" spans="1:7" ht="16.2" thickBot="1" x14ac:dyDescent="0.35">
      <c r="A87" s="284">
        <v>44938</v>
      </c>
      <c r="B87" s="276"/>
      <c r="C87" s="277"/>
      <c r="D87" s="277"/>
      <c r="E87" s="278"/>
      <c r="F87" s="899"/>
      <c r="G87" s="899"/>
    </row>
    <row r="88" spans="1:7" ht="16.2" thickBot="1" x14ac:dyDescent="0.35">
      <c r="A88" s="284">
        <v>44939</v>
      </c>
      <c r="B88" s="276"/>
      <c r="C88" s="277"/>
      <c r="D88" s="277"/>
      <c r="E88" s="278"/>
      <c r="F88" s="899"/>
      <c r="G88" s="899"/>
    </row>
    <row r="89" spans="1:7" ht="16.2" thickBot="1" x14ac:dyDescent="0.35">
      <c r="A89" s="285">
        <v>44940</v>
      </c>
      <c r="B89" s="272" t="s">
        <v>221</v>
      </c>
      <c r="C89" s="273" t="s">
        <v>242</v>
      </c>
      <c r="D89" s="274"/>
      <c r="E89" s="275">
        <f>21621348-5000000</f>
        <v>16621348</v>
      </c>
      <c r="F89" s="899"/>
      <c r="G89" s="899"/>
    </row>
    <row r="90" spans="1:7" ht="16.2" thickBot="1" x14ac:dyDescent="0.35">
      <c r="A90" s="285"/>
      <c r="B90" s="272" t="s">
        <v>221</v>
      </c>
      <c r="C90" s="273" t="s">
        <v>242</v>
      </c>
      <c r="D90" s="274"/>
      <c r="E90" s="275">
        <v>10642608.9</v>
      </c>
      <c r="F90" s="899"/>
      <c r="G90" s="899"/>
    </row>
    <row r="91" spans="1:7" ht="16.2" thickBot="1" x14ac:dyDescent="0.35">
      <c r="A91" s="284">
        <v>44941</v>
      </c>
      <c r="B91" s="276"/>
      <c r="C91" s="277"/>
      <c r="D91" s="277"/>
      <c r="E91" s="278"/>
      <c r="F91" s="899"/>
      <c r="G91" s="899"/>
    </row>
    <row r="92" spans="1:7" ht="16.2" thickBot="1" x14ac:dyDescent="0.35">
      <c r="A92" s="284">
        <v>44942</v>
      </c>
      <c r="B92" s="276"/>
      <c r="C92" s="277"/>
      <c r="D92" s="277"/>
      <c r="E92" s="278"/>
      <c r="F92" s="899"/>
      <c r="G92" s="899"/>
    </row>
    <row r="93" spans="1:7" ht="16.2" thickBot="1" x14ac:dyDescent="0.35">
      <c r="A93" s="284">
        <v>44943</v>
      </c>
      <c r="B93" s="276"/>
      <c r="C93" s="277"/>
      <c r="D93" s="277"/>
      <c r="E93" s="278"/>
      <c r="F93" s="899"/>
      <c r="G93" s="899"/>
    </row>
    <row r="94" spans="1:7" ht="16.2" thickBot="1" x14ac:dyDescent="0.35">
      <c r="A94" s="285">
        <v>44944</v>
      </c>
      <c r="B94" s="272" t="s">
        <v>67</v>
      </c>
      <c r="C94" s="273" t="s">
        <v>241</v>
      </c>
      <c r="D94" s="274"/>
      <c r="E94" s="275">
        <v>52966062.5</v>
      </c>
      <c r="F94" s="899"/>
      <c r="G94" s="899"/>
    </row>
    <row r="95" spans="1:7" ht="16.2" thickBot="1" x14ac:dyDescent="0.35">
      <c r="A95" s="284">
        <v>44945</v>
      </c>
      <c r="B95" s="276"/>
      <c r="C95" s="277"/>
      <c r="D95" s="277"/>
      <c r="E95" s="278"/>
      <c r="F95" s="899"/>
      <c r="G95" s="899"/>
    </row>
    <row r="96" spans="1:7" ht="16.2" thickBot="1" x14ac:dyDescent="0.35">
      <c r="A96" s="284">
        <v>44946</v>
      </c>
      <c r="B96" s="276"/>
      <c r="C96" s="277"/>
      <c r="D96" s="277"/>
      <c r="E96" s="278"/>
      <c r="F96" s="899"/>
      <c r="G96" s="899"/>
    </row>
    <row r="97" spans="1:7" ht="16.2" thickBot="1" x14ac:dyDescent="0.35">
      <c r="A97" s="284">
        <v>44947</v>
      </c>
      <c r="B97" s="276"/>
      <c r="C97" s="277"/>
      <c r="D97" s="277"/>
      <c r="E97" s="278"/>
      <c r="F97" s="899"/>
      <c r="G97" s="899"/>
    </row>
    <row r="98" spans="1:7" ht="16.2" thickBot="1" x14ac:dyDescent="0.35">
      <c r="A98" s="284">
        <v>44948</v>
      </c>
      <c r="B98" s="276"/>
      <c r="C98" s="277"/>
      <c r="D98" s="277"/>
      <c r="E98" s="278"/>
      <c r="F98" s="899"/>
      <c r="G98" s="899"/>
    </row>
    <row r="99" spans="1:7" ht="16.2" thickBot="1" x14ac:dyDescent="0.35">
      <c r="A99" s="285">
        <v>44949</v>
      </c>
      <c r="B99" s="272" t="s">
        <v>221</v>
      </c>
      <c r="C99" s="273" t="s">
        <v>242</v>
      </c>
      <c r="D99" s="274"/>
      <c r="E99" s="275">
        <v>6322800</v>
      </c>
      <c r="F99" s="899"/>
      <c r="G99" s="899"/>
    </row>
    <row r="100" spans="1:7" ht="16.2" thickBot="1" x14ac:dyDescent="0.35">
      <c r="A100" s="284">
        <v>44950</v>
      </c>
      <c r="B100" s="276"/>
      <c r="C100" s="277"/>
      <c r="D100" s="277"/>
      <c r="E100" s="278"/>
      <c r="F100" s="899"/>
      <c r="G100" s="899"/>
    </row>
    <row r="101" spans="1:7" ht="16.2" thickBot="1" x14ac:dyDescent="0.35">
      <c r="A101" s="284">
        <v>44951</v>
      </c>
      <c r="B101" s="276"/>
      <c r="C101" s="277"/>
      <c r="D101" s="277"/>
      <c r="E101" s="278"/>
      <c r="F101" s="899"/>
      <c r="G101" s="899"/>
    </row>
    <row r="102" spans="1:7" ht="16.2" thickBot="1" x14ac:dyDescent="0.35">
      <c r="A102" s="284">
        <v>44952</v>
      </c>
      <c r="B102" s="276"/>
      <c r="C102" s="277"/>
      <c r="D102" s="277"/>
      <c r="E102" s="278"/>
      <c r="F102" s="899"/>
      <c r="G102" s="899"/>
    </row>
    <row r="103" spans="1:7" ht="16.2" thickBot="1" x14ac:dyDescent="0.35">
      <c r="A103" s="284">
        <v>44953</v>
      </c>
      <c r="B103" s="276"/>
      <c r="C103" s="277"/>
      <c r="D103" s="277"/>
      <c r="E103" s="278"/>
      <c r="F103" s="899"/>
      <c r="G103" s="899"/>
    </row>
    <row r="104" spans="1:7" ht="16.2" thickBot="1" x14ac:dyDescent="0.35">
      <c r="A104" s="285">
        <v>44954</v>
      </c>
      <c r="B104" s="272" t="s">
        <v>205</v>
      </c>
      <c r="C104" s="273" t="s">
        <v>241</v>
      </c>
      <c r="D104" s="274"/>
      <c r="E104" s="275">
        <v>8810726.4000000004</v>
      </c>
      <c r="F104" s="899"/>
      <c r="G104" s="899"/>
    </row>
    <row r="105" spans="1:7" ht="16.2" thickBot="1" x14ac:dyDescent="0.35">
      <c r="A105" s="284">
        <v>44955</v>
      </c>
      <c r="B105" s="276"/>
      <c r="C105" s="277"/>
      <c r="D105" s="277"/>
      <c r="E105" s="278"/>
      <c r="F105" s="899"/>
      <c r="G105" s="899"/>
    </row>
    <row r="106" spans="1:7" ht="16.2" thickBot="1" x14ac:dyDescent="0.35">
      <c r="A106" s="284">
        <v>44956</v>
      </c>
      <c r="B106" s="276"/>
      <c r="C106" s="277"/>
      <c r="D106" s="277"/>
      <c r="E106" s="278"/>
      <c r="F106" s="899"/>
      <c r="G106" s="899"/>
    </row>
    <row r="107" spans="1:7" ht="16.2" thickBot="1" x14ac:dyDescent="0.35">
      <c r="A107" s="284">
        <v>44957</v>
      </c>
      <c r="B107" s="292"/>
      <c r="C107" s="293"/>
      <c r="D107" s="293"/>
      <c r="E107" s="294"/>
      <c r="F107" s="900"/>
      <c r="G107" s="900"/>
    </row>
    <row r="108" spans="1:7" ht="16.2" thickBot="1" x14ac:dyDescent="0.35">
      <c r="A108" s="284">
        <v>44958</v>
      </c>
      <c r="B108" s="295"/>
      <c r="C108" s="289"/>
      <c r="D108" s="289"/>
      <c r="E108" s="290"/>
      <c r="F108" s="901">
        <f>SUM(E108:E136)</f>
        <v>252248260.995</v>
      </c>
      <c r="G108" s="898" t="s">
        <v>247</v>
      </c>
    </row>
    <row r="109" spans="1:7" ht="16.2" thickBot="1" x14ac:dyDescent="0.35">
      <c r="A109" s="284">
        <v>44959</v>
      </c>
      <c r="B109" s="272" t="s">
        <v>68</v>
      </c>
      <c r="C109" s="273" t="s">
        <v>241</v>
      </c>
      <c r="D109" s="274"/>
      <c r="E109" s="275">
        <v>7008750</v>
      </c>
      <c r="F109" s="899"/>
      <c r="G109" s="899"/>
    </row>
    <row r="110" spans="1:7" ht="16.2" thickBot="1" x14ac:dyDescent="0.35">
      <c r="A110" s="284"/>
      <c r="B110" s="272" t="s">
        <v>68</v>
      </c>
      <c r="C110" s="273" t="s">
        <v>241</v>
      </c>
      <c r="D110" s="274"/>
      <c r="E110" s="275">
        <v>13608100</v>
      </c>
      <c r="F110" s="899"/>
      <c r="G110" s="899"/>
    </row>
    <row r="111" spans="1:7" ht="16.2" thickBot="1" x14ac:dyDescent="0.35">
      <c r="A111" s="284">
        <v>44960</v>
      </c>
      <c r="B111" s="276"/>
      <c r="C111" s="277"/>
      <c r="D111" s="277"/>
      <c r="E111" s="278"/>
      <c r="F111" s="899"/>
      <c r="G111" s="899"/>
    </row>
    <row r="112" spans="1:7" ht="16.2" thickBot="1" x14ac:dyDescent="0.35">
      <c r="A112" s="284">
        <v>44961</v>
      </c>
      <c r="B112" s="276"/>
      <c r="C112" s="277"/>
      <c r="D112" s="277"/>
      <c r="E112" s="278"/>
      <c r="F112" s="899"/>
      <c r="G112" s="899"/>
    </row>
    <row r="113" spans="1:7" ht="16.2" thickBot="1" x14ac:dyDescent="0.35">
      <c r="A113" s="284">
        <v>44962</v>
      </c>
      <c r="B113" s="276"/>
      <c r="C113" s="277"/>
      <c r="D113" s="277"/>
      <c r="E113" s="278"/>
      <c r="F113" s="899"/>
      <c r="G113" s="899"/>
    </row>
    <row r="114" spans="1:7" ht="16.2" thickBot="1" x14ac:dyDescent="0.35">
      <c r="A114" s="285">
        <v>44963</v>
      </c>
      <c r="B114" s="272" t="s">
        <v>91</v>
      </c>
      <c r="C114" s="273" t="s">
        <v>241</v>
      </c>
      <c r="D114" s="274"/>
      <c r="E114" s="275">
        <v>33533999.994999994</v>
      </c>
      <c r="F114" s="899"/>
      <c r="G114" s="899"/>
    </row>
    <row r="115" spans="1:7" ht="16.2" thickBot="1" x14ac:dyDescent="0.35">
      <c r="A115" s="285">
        <v>44964</v>
      </c>
      <c r="B115" s="272" t="s">
        <v>205</v>
      </c>
      <c r="C115" s="273" t="s">
        <v>241</v>
      </c>
      <c r="D115" s="274"/>
      <c r="E115" s="275">
        <v>19316000</v>
      </c>
      <c r="F115" s="899"/>
      <c r="G115" s="899"/>
    </row>
    <row r="116" spans="1:7" ht="16.2" thickBot="1" x14ac:dyDescent="0.35">
      <c r="A116" s="285">
        <v>44965</v>
      </c>
      <c r="B116" s="272" t="s">
        <v>67</v>
      </c>
      <c r="C116" s="273" t="s">
        <v>241</v>
      </c>
      <c r="D116" s="274"/>
      <c r="E116" s="275">
        <v>19918536</v>
      </c>
      <c r="F116" s="899"/>
      <c r="G116" s="899"/>
    </row>
    <row r="117" spans="1:7" ht="16.2" thickBot="1" x14ac:dyDescent="0.35">
      <c r="A117" s="284">
        <v>44966</v>
      </c>
      <c r="B117" s="276"/>
      <c r="C117" s="277"/>
      <c r="D117" s="277"/>
      <c r="E117" s="278"/>
      <c r="F117" s="899"/>
      <c r="G117" s="899"/>
    </row>
    <row r="118" spans="1:7" ht="16.2" thickBot="1" x14ac:dyDescent="0.35">
      <c r="A118" s="284">
        <v>44967</v>
      </c>
      <c r="B118" s="276"/>
      <c r="C118" s="277"/>
      <c r="D118" s="277"/>
      <c r="E118" s="278"/>
      <c r="F118" s="899"/>
      <c r="G118" s="899"/>
    </row>
    <row r="119" spans="1:7" ht="16.2" thickBot="1" x14ac:dyDescent="0.35">
      <c r="A119" s="285">
        <v>44968</v>
      </c>
      <c r="B119" s="272" t="s">
        <v>67</v>
      </c>
      <c r="C119" s="273" t="s">
        <v>241</v>
      </c>
      <c r="D119" s="274"/>
      <c r="E119" s="275">
        <v>16509074</v>
      </c>
      <c r="F119" s="899"/>
      <c r="G119" s="899"/>
    </row>
    <row r="120" spans="1:7" ht="16.2" thickBot="1" x14ac:dyDescent="0.35">
      <c r="A120" s="285">
        <v>44969</v>
      </c>
      <c r="B120" s="272" t="s">
        <v>67</v>
      </c>
      <c r="C120" s="273" t="s">
        <v>241</v>
      </c>
      <c r="D120" s="274"/>
      <c r="E120" s="275">
        <v>60697350</v>
      </c>
      <c r="F120" s="899"/>
      <c r="G120" s="899"/>
    </row>
    <row r="121" spans="1:7" ht="16.2" thickBot="1" x14ac:dyDescent="0.35">
      <c r="A121" s="285">
        <v>44970</v>
      </c>
      <c r="B121" s="272" t="s">
        <v>221</v>
      </c>
      <c r="C121" s="273" t="s">
        <v>242</v>
      </c>
      <c r="D121" s="274"/>
      <c r="E121" s="275">
        <v>11710896</v>
      </c>
      <c r="F121" s="899"/>
      <c r="G121" s="899"/>
    </row>
    <row r="122" spans="1:7" ht="16.2" thickBot="1" x14ac:dyDescent="0.35">
      <c r="A122" s="284">
        <v>44971</v>
      </c>
      <c r="B122" s="276"/>
      <c r="C122" s="277"/>
      <c r="D122" s="277"/>
      <c r="E122" s="278"/>
      <c r="F122" s="899"/>
      <c r="G122" s="899"/>
    </row>
    <row r="123" spans="1:7" ht="16.2" thickBot="1" x14ac:dyDescent="0.35">
      <c r="A123" s="284">
        <v>44972</v>
      </c>
      <c r="B123" s="276"/>
      <c r="C123" s="277"/>
      <c r="D123" s="277"/>
      <c r="E123" s="278"/>
      <c r="F123" s="899"/>
      <c r="G123" s="899"/>
    </row>
    <row r="124" spans="1:7" ht="16.2" thickBot="1" x14ac:dyDescent="0.35">
      <c r="A124" s="284">
        <v>44973</v>
      </c>
      <c r="B124" s="276"/>
      <c r="C124" s="277"/>
      <c r="D124" s="277"/>
      <c r="E124" s="278"/>
      <c r="F124" s="899"/>
      <c r="G124" s="899"/>
    </row>
    <row r="125" spans="1:7" ht="16.2" thickBot="1" x14ac:dyDescent="0.35">
      <c r="A125" s="291">
        <v>44974</v>
      </c>
      <c r="B125" s="296" t="s">
        <v>207</v>
      </c>
      <c r="C125" s="274" t="s">
        <v>241</v>
      </c>
      <c r="D125" s="274"/>
      <c r="E125" s="275">
        <v>6308475</v>
      </c>
      <c r="F125" s="899"/>
      <c r="G125" s="899"/>
    </row>
    <row r="126" spans="1:7" ht="16.2" thickBot="1" x14ac:dyDescent="0.35">
      <c r="A126" s="284">
        <v>44975</v>
      </c>
      <c r="B126" s="276"/>
      <c r="C126" s="277"/>
      <c r="D126" s="277"/>
      <c r="E126" s="278"/>
      <c r="F126" s="899"/>
      <c r="G126" s="899"/>
    </row>
    <row r="127" spans="1:7" ht="16.2" thickBot="1" x14ac:dyDescent="0.35">
      <c r="A127" s="284">
        <v>44976</v>
      </c>
      <c r="B127" s="272" t="s">
        <v>222</v>
      </c>
      <c r="C127" s="273" t="s">
        <v>244</v>
      </c>
      <c r="D127" s="274"/>
      <c r="E127" s="275">
        <v>19485999.999999996</v>
      </c>
      <c r="F127" s="899"/>
      <c r="G127" s="899"/>
    </row>
    <row r="128" spans="1:7" ht="16.2" thickBot="1" x14ac:dyDescent="0.35">
      <c r="A128" s="284">
        <v>44977</v>
      </c>
      <c r="B128" s="276"/>
      <c r="C128" s="277"/>
      <c r="D128" s="277"/>
      <c r="E128" s="278"/>
      <c r="F128" s="899"/>
      <c r="G128" s="899"/>
    </row>
    <row r="129" spans="1:7" ht="16.2" thickBot="1" x14ac:dyDescent="0.35">
      <c r="A129" s="284">
        <v>44978</v>
      </c>
      <c r="B129" s="276"/>
      <c r="C129" s="277"/>
      <c r="D129" s="277"/>
      <c r="E129" s="278"/>
      <c r="F129" s="899"/>
      <c r="G129" s="899"/>
    </row>
    <row r="130" spans="1:7" ht="16.2" thickBot="1" x14ac:dyDescent="0.35">
      <c r="A130" s="284">
        <v>44979</v>
      </c>
      <c r="B130" s="276"/>
      <c r="C130" s="277"/>
      <c r="D130" s="277"/>
      <c r="E130" s="278"/>
      <c r="F130" s="899"/>
      <c r="G130" s="899"/>
    </row>
    <row r="131" spans="1:7" ht="16.2" thickBot="1" x14ac:dyDescent="0.35">
      <c r="A131" s="291">
        <v>44980</v>
      </c>
      <c r="B131" s="296" t="s">
        <v>68</v>
      </c>
      <c r="C131" s="274" t="s">
        <v>241</v>
      </c>
      <c r="D131" s="274"/>
      <c r="E131" s="275">
        <v>17768270</v>
      </c>
      <c r="F131" s="899"/>
      <c r="G131" s="899"/>
    </row>
    <row r="132" spans="1:7" ht="16.2" thickBot="1" x14ac:dyDescent="0.35">
      <c r="A132" s="284">
        <v>44981</v>
      </c>
      <c r="B132" s="276"/>
      <c r="C132" s="277"/>
      <c r="D132" s="277"/>
      <c r="E132" s="278"/>
      <c r="F132" s="899"/>
      <c r="G132" s="899"/>
    </row>
    <row r="133" spans="1:7" ht="16.2" thickBot="1" x14ac:dyDescent="0.35">
      <c r="A133" s="285">
        <v>44982</v>
      </c>
      <c r="B133" s="272" t="s">
        <v>205</v>
      </c>
      <c r="C133" s="273" t="s">
        <v>241</v>
      </c>
      <c r="D133" s="274"/>
      <c r="E133" s="275">
        <v>12398700</v>
      </c>
      <c r="F133" s="899"/>
      <c r="G133" s="899"/>
    </row>
    <row r="134" spans="1:7" ht="16.2" thickBot="1" x14ac:dyDescent="0.35">
      <c r="A134" s="284">
        <v>44983</v>
      </c>
      <c r="B134" s="276"/>
      <c r="C134" s="277"/>
      <c r="D134" s="277"/>
      <c r="E134" s="278"/>
      <c r="F134" s="899"/>
      <c r="G134" s="899"/>
    </row>
    <row r="135" spans="1:7" ht="16.2" thickBot="1" x14ac:dyDescent="0.35">
      <c r="A135" s="284">
        <v>44984</v>
      </c>
      <c r="B135" s="276"/>
      <c r="C135" s="277"/>
      <c r="D135" s="277"/>
      <c r="E135" s="278"/>
      <c r="F135" s="899"/>
      <c r="G135" s="899"/>
    </row>
    <row r="136" spans="1:7" ht="16.2" thickBot="1" x14ac:dyDescent="0.35">
      <c r="A136" s="291">
        <v>44985</v>
      </c>
      <c r="B136" s="292" t="s">
        <v>66</v>
      </c>
      <c r="C136" s="293" t="s">
        <v>241</v>
      </c>
      <c r="D136" s="293"/>
      <c r="E136" s="294">
        <v>13984110</v>
      </c>
      <c r="F136" s="900"/>
      <c r="G136" s="900"/>
    </row>
    <row r="137" spans="1:7" ht="16.2" thickBot="1" x14ac:dyDescent="0.35">
      <c r="A137" s="284">
        <v>44986</v>
      </c>
      <c r="B137" s="286"/>
      <c r="C137" s="282"/>
      <c r="D137" s="282"/>
      <c r="E137" s="283"/>
      <c r="F137" s="901" t="e">
        <f>SUM(E137:E167)</f>
        <v>#REF!</v>
      </c>
      <c r="G137" s="898" t="s">
        <v>248</v>
      </c>
    </row>
    <row r="138" spans="1:7" ht="16.2" thickBot="1" x14ac:dyDescent="0.35">
      <c r="A138" s="284">
        <v>44987</v>
      </c>
      <c r="B138" s="296" t="s">
        <v>222</v>
      </c>
      <c r="C138" s="274" t="s">
        <v>244</v>
      </c>
      <c r="D138" s="274"/>
      <c r="E138" s="275">
        <v>20246000.002</v>
      </c>
      <c r="F138" s="899"/>
      <c r="G138" s="899"/>
    </row>
    <row r="139" spans="1:7" ht="16.2" thickBot="1" x14ac:dyDescent="0.35">
      <c r="A139" s="284">
        <v>44988</v>
      </c>
      <c r="B139" s="276"/>
      <c r="C139" s="277"/>
      <c r="D139" s="277"/>
      <c r="E139" s="278"/>
      <c r="F139" s="899"/>
      <c r="G139" s="899"/>
    </row>
    <row r="140" spans="1:7" ht="16.2" thickBot="1" x14ac:dyDescent="0.35">
      <c r="A140" s="284">
        <v>44989</v>
      </c>
      <c r="B140" s="276"/>
      <c r="C140" s="277"/>
      <c r="D140" s="277"/>
      <c r="E140" s="278"/>
      <c r="F140" s="899"/>
      <c r="G140" s="899"/>
    </row>
    <row r="141" spans="1:7" ht="16.2" thickBot="1" x14ac:dyDescent="0.35">
      <c r="A141" s="285">
        <v>44990</v>
      </c>
      <c r="B141" s="272" t="s">
        <v>221</v>
      </c>
      <c r="C141" s="273" t="s">
        <v>242</v>
      </c>
      <c r="D141" s="274"/>
      <c r="E141" s="275">
        <v>4643143.0200000005</v>
      </c>
      <c r="F141" s="899"/>
      <c r="G141" s="899"/>
    </row>
    <row r="142" spans="1:7" ht="16.2" thickBot="1" x14ac:dyDescent="0.35">
      <c r="A142" s="284">
        <v>44991</v>
      </c>
      <c r="B142" s="276"/>
      <c r="C142" s="277"/>
      <c r="D142" s="277"/>
      <c r="E142" s="278"/>
      <c r="F142" s="899"/>
      <c r="G142" s="899"/>
    </row>
    <row r="143" spans="1:7" ht="16.2" thickBot="1" x14ac:dyDescent="0.35">
      <c r="A143" s="284">
        <v>44992</v>
      </c>
      <c r="B143" s="276"/>
      <c r="C143" s="277"/>
      <c r="D143" s="277"/>
      <c r="E143" s="278"/>
      <c r="F143" s="899"/>
      <c r="G143" s="899"/>
    </row>
    <row r="144" spans="1:7" ht="16.2" thickBot="1" x14ac:dyDescent="0.35">
      <c r="A144" s="284">
        <v>44993</v>
      </c>
      <c r="B144" s="276"/>
      <c r="C144" s="277"/>
      <c r="D144" s="277"/>
      <c r="E144" s="278"/>
      <c r="F144" s="899"/>
      <c r="G144" s="899"/>
    </row>
    <row r="145" spans="1:7" ht="16.2" thickBot="1" x14ac:dyDescent="0.35">
      <c r="A145" s="284">
        <v>44994</v>
      </c>
      <c r="B145" s="276"/>
      <c r="C145" s="277"/>
      <c r="D145" s="277"/>
      <c r="E145" s="278"/>
      <c r="F145" s="899"/>
      <c r="G145" s="899"/>
    </row>
    <row r="146" spans="1:7" ht="16.2" thickBot="1" x14ac:dyDescent="0.35">
      <c r="A146" s="285">
        <v>44995</v>
      </c>
      <c r="B146" s="272" t="s">
        <v>91</v>
      </c>
      <c r="C146" s="273" t="s">
        <v>241</v>
      </c>
      <c r="D146" s="274"/>
      <c r="E146" s="275">
        <v>8123000</v>
      </c>
      <c r="F146" s="899"/>
      <c r="G146" s="899"/>
    </row>
    <row r="147" spans="1:7" ht="16.2" thickBot="1" x14ac:dyDescent="0.35">
      <c r="A147" s="284">
        <v>44996</v>
      </c>
      <c r="B147" s="276"/>
      <c r="C147" s="277"/>
      <c r="D147" s="277"/>
      <c r="E147" s="278"/>
      <c r="F147" s="899"/>
      <c r="G147" s="899"/>
    </row>
    <row r="148" spans="1:7" ht="16.2" thickBot="1" x14ac:dyDescent="0.35">
      <c r="A148" s="284">
        <v>44997</v>
      </c>
      <c r="B148" s="276"/>
      <c r="C148" s="277"/>
      <c r="D148" s="277"/>
      <c r="E148" s="278"/>
      <c r="F148" s="899"/>
      <c r="G148" s="899"/>
    </row>
    <row r="149" spans="1:7" ht="16.2" thickBot="1" x14ac:dyDescent="0.35">
      <c r="A149" s="284">
        <v>44998</v>
      </c>
      <c r="B149" s="276"/>
      <c r="C149" s="277"/>
      <c r="D149" s="277"/>
      <c r="E149" s="278"/>
      <c r="F149" s="899"/>
      <c r="G149" s="899"/>
    </row>
    <row r="150" spans="1:7" ht="16.2" thickBot="1" x14ac:dyDescent="0.35">
      <c r="A150" s="284">
        <v>44999</v>
      </c>
      <c r="B150" s="276"/>
      <c r="C150" s="277"/>
      <c r="D150" s="277"/>
      <c r="E150" s="278"/>
      <c r="F150" s="899"/>
      <c r="G150" s="899"/>
    </row>
    <row r="151" spans="1:7" ht="16.2" thickBot="1" x14ac:dyDescent="0.35">
      <c r="A151" s="284">
        <v>45000</v>
      </c>
      <c r="B151" s="276"/>
      <c r="C151" s="277"/>
      <c r="D151" s="277"/>
      <c r="E151" s="278"/>
      <c r="F151" s="899"/>
      <c r="G151" s="899"/>
    </row>
    <row r="152" spans="1:7" ht="16.2" thickBot="1" x14ac:dyDescent="0.35">
      <c r="A152" s="284">
        <v>45001</v>
      </c>
      <c r="B152" s="276"/>
      <c r="C152" s="277"/>
      <c r="D152" s="277"/>
      <c r="E152" s="278"/>
      <c r="F152" s="899"/>
      <c r="G152" s="899"/>
    </row>
    <row r="153" spans="1:7" ht="16.2" thickBot="1" x14ac:dyDescent="0.35">
      <c r="A153" s="284">
        <v>45002</v>
      </c>
      <c r="B153" s="276"/>
      <c r="C153" s="277"/>
      <c r="D153" s="277"/>
      <c r="E153" s="278"/>
      <c r="F153" s="899"/>
      <c r="G153" s="899"/>
    </row>
    <row r="154" spans="1:7" ht="16.2" thickBot="1" x14ac:dyDescent="0.35">
      <c r="A154" s="284">
        <v>45003</v>
      </c>
      <c r="B154" s="276"/>
      <c r="C154" s="277"/>
      <c r="D154" s="277"/>
      <c r="E154" s="278"/>
      <c r="F154" s="899"/>
      <c r="G154" s="899"/>
    </row>
    <row r="155" spans="1:7" ht="16.2" thickBot="1" x14ac:dyDescent="0.35">
      <c r="A155" s="284">
        <v>45004</v>
      </c>
      <c r="B155" s="276"/>
      <c r="C155" s="277"/>
      <c r="D155" s="277"/>
      <c r="E155" s="278"/>
      <c r="F155" s="899"/>
      <c r="G155" s="899"/>
    </row>
    <row r="156" spans="1:7" ht="16.2" thickBot="1" x14ac:dyDescent="0.35">
      <c r="A156" s="285">
        <v>45005</v>
      </c>
      <c r="B156" s="272" t="s">
        <v>91</v>
      </c>
      <c r="C156" s="273" t="s">
        <v>241</v>
      </c>
      <c r="D156" s="274"/>
      <c r="E156" s="275">
        <v>40661000</v>
      </c>
      <c r="F156" s="899"/>
      <c r="G156" s="899"/>
    </row>
    <row r="157" spans="1:7" ht="16.2" thickBot="1" x14ac:dyDescent="0.35">
      <c r="A157" s="284">
        <v>45006</v>
      </c>
      <c r="B157" s="296" t="s">
        <v>222</v>
      </c>
      <c r="C157" s="274" t="s">
        <v>244</v>
      </c>
      <c r="D157" s="274"/>
      <c r="E157" s="275">
        <v>31724550</v>
      </c>
      <c r="F157" s="899"/>
      <c r="G157" s="899"/>
    </row>
    <row r="158" spans="1:7" ht="16.2" thickBot="1" x14ac:dyDescent="0.35">
      <c r="A158" s="284">
        <v>45007</v>
      </c>
      <c r="B158" s="276"/>
      <c r="C158" s="277"/>
      <c r="D158" s="277"/>
      <c r="E158" s="278"/>
      <c r="F158" s="899"/>
      <c r="G158" s="899"/>
    </row>
    <row r="159" spans="1:7" ht="16.2" thickBot="1" x14ac:dyDescent="0.35">
      <c r="A159" s="284">
        <v>45008</v>
      </c>
      <c r="B159" s="276"/>
      <c r="C159" s="277"/>
      <c r="D159" s="277"/>
      <c r="E159" s="278"/>
      <c r="F159" s="899"/>
      <c r="G159" s="899"/>
    </row>
    <row r="160" spans="1:7" ht="16.2" thickBot="1" x14ac:dyDescent="0.35">
      <c r="A160" s="284">
        <v>45009</v>
      </c>
      <c r="B160" s="276"/>
      <c r="C160" s="277"/>
      <c r="D160" s="277"/>
      <c r="E160" s="278"/>
      <c r="F160" s="899"/>
      <c r="G160" s="899"/>
    </row>
    <row r="161" spans="1:7" ht="16.2" thickBot="1" x14ac:dyDescent="0.35">
      <c r="A161" s="291">
        <v>45010</v>
      </c>
      <c r="B161" s="296" t="s">
        <v>222</v>
      </c>
      <c r="C161" s="274" t="s">
        <v>244</v>
      </c>
      <c r="D161" s="274"/>
      <c r="E161" s="275">
        <v>8311102.0000000009</v>
      </c>
      <c r="F161" s="899"/>
      <c r="G161" s="899"/>
    </row>
    <row r="162" spans="1:7" ht="16.2" thickBot="1" x14ac:dyDescent="0.35">
      <c r="A162" s="284">
        <v>45011</v>
      </c>
      <c r="B162" s="276"/>
      <c r="C162" s="277"/>
      <c r="D162" s="277"/>
      <c r="E162" s="278"/>
      <c r="F162" s="899"/>
      <c r="G162" s="899"/>
    </row>
    <row r="163" spans="1:7" ht="16.2" thickBot="1" x14ac:dyDescent="0.35">
      <c r="A163" s="284">
        <v>45012</v>
      </c>
      <c r="B163" s="276"/>
      <c r="C163" s="277"/>
      <c r="D163" s="277"/>
      <c r="E163" s="278"/>
      <c r="F163" s="899"/>
      <c r="G163" s="899"/>
    </row>
    <row r="164" spans="1:7" ht="16.2" thickBot="1" x14ac:dyDescent="0.35">
      <c r="A164" s="284">
        <v>45013</v>
      </c>
      <c r="B164" s="276"/>
      <c r="C164" s="277"/>
      <c r="D164" s="277"/>
      <c r="E164" s="278"/>
      <c r="F164" s="899"/>
      <c r="G164" s="899"/>
    </row>
    <row r="165" spans="1:7" ht="16.2" thickBot="1" x14ac:dyDescent="0.35">
      <c r="A165" s="284">
        <v>45014</v>
      </c>
      <c r="B165" s="276"/>
      <c r="C165" s="277"/>
      <c r="D165" s="277"/>
      <c r="E165" s="278"/>
      <c r="F165" s="899"/>
      <c r="G165" s="899"/>
    </row>
    <row r="166" spans="1:7" ht="16.2" thickBot="1" x14ac:dyDescent="0.35">
      <c r="A166" s="284">
        <v>45015</v>
      </c>
      <c r="B166" s="276"/>
      <c r="C166" s="277"/>
      <c r="D166" s="277"/>
      <c r="E166" s="278"/>
      <c r="F166" s="899"/>
      <c r="G166" s="899"/>
    </row>
    <row r="167" spans="1:7" ht="16.2" thickBot="1" x14ac:dyDescent="0.35">
      <c r="A167" s="291">
        <v>45016</v>
      </c>
      <c r="B167" s="292" t="s">
        <v>91</v>
      </c>
      <c r="C167" s="293" t="s">
        <v>241</v>
      </c>
      <c r="D167" s="293"/>
      <c r="E167" s="294" t="e">
        <f>'HABIB METROPOLITAN-FATR'!#REF!</f>
        <v>#REF!</v>
      </c>
      <c r="F167" s="900"/>
      <c r="G167" s="900"/>
    </row>
    <row r="168" spans="1:7" ht="18" customHeight="1" thickBot="1" x14ac:dyDescent="0.35">
      <c r="A168" s="291">
        <v>45017</v>
      </c>
      <c r="B168" s="295"/>
      <c r="C168" s="289"/>
      <c r="D168" s="289"/>
      <c r="E168" s="290"/>
      <c r="F168" s="901">
        <f>SUM(E168:E197)</f>
        <v>130750284.7</v>
      </c>
      <c r="G168" s="898" t="s">
        <v>251</v>
      </c>
    </row>
    <row r="169" spans="1:7" ht="19.2" customHeight="1" thickBot="1" x14ac:dyDescent="0.35">
      <c r="A169" s="291">
        <v>45018</v>
      </c>
      <c r="B169" s="296"/>
      <c r="C169" s="274"/>
      <c r="D169" s="274"/>
      <c r="E169" s="275"/>
      <c r="F169" s="899"/>
      <c r="G169" s="899"/>
    </row>
    <row r="170" spans="1:7" ht="15.6" customHeight="1" thickBot="1" x14ac:dyDescent="0.35">
      <c r="A170" s="291">
        <v>45019</v>
      </c>
      <c r="B170" s="296"/>
      <c r="C170" s="274"/>
      <c r="D170" s="274"/>
      <c r="E170" s="275"/>
      <c r="F170" s="899"/>
      <c r="G170" s="899"/>
    </row>
    <row r="171" spans="1:7" ht="17.399999999999999" customHeight="1" thickBot="1" x14ac:dyDescent="0.35">
      <c r="A171" s="291">
        <v>45020</v>
      </c>
      <c r="B171" s="296" t="s">
        <v>221</v>
      </c>
      <c r="C171" s="274" t="s">
        <v>242</v>
      </c>
      <c r="D171" s="274"/>
      <c r="E171" s="275">
        <v>11933325</v>
      </c>
      <c r="F171" s="899"/>
      <c r="G171" s="899"/>
    </row>
    <row r="172" spans="1:7" ht="18.600000000000001" customHeight="1" thickBot="1" x14ac:dyDescent="0.35">
      <c r="A172" s="291">
        <v>45021</v>
      </c>
      <c r="B172" s="296"/>
      <c r="C172" s="274"/>
      <c r="D172" s="274"/>
      <c r="E172" s="275"/>
      <c r="F172" s="899"/>
      <c r="G172" s="899"/>
    </row>
    <row r="173" spans="1:7" ht="18" customHeight="1" thickBot="1" x14ac:dyDescent="0.35">
      <c r="A173" s="291">
        <v>45022</v>
      </c>
      <c r="B173" s="296"/>
      <c r="C173" s="274"/>
      <c r="D173" s="274"/>
      <c r="E173" s="275"/>
      <c r="F173" s="899"/>
      <c r="G173" s="899"/>
    </row>
    <row r="174" spans="1:7" ht="15" customHeight="1" thickBot="1" x14ac:dyDescent="0.35">
      <c r="A174" s="291">
        <v>45023</v>
      </c>
      <c r="B174" s="296"/>
      <c r="C174" s="274"/>
      <c r="D174" s="274"/>
      <c r="E174" s="275"/>
      <c r="F174" s="899"/>
      <c r="G174" s="899"/>
    </row>
    <row r="175" spans="1:7" ht="18" customHeight="1" thickBot="1" x14ac:dyDescent="0.35">
      <c r="A175" s="291">
        <v>45024</v>
      </c>
      <c r="B175" s="296"/>
      <c r="C175" s="274"/>
      <c r="D175" s="274"/>
      <c r="E175" s="275"/>
      <c r="F175" s="899"/>
      <c r="G175" s="899"/>
    </row>
    <row r="176" spans="1:7" ht="18.600000000000001" customHeight="1" thickBot="1" x14ac:dyDescent="0.35">
      <c r="A176" s="291">
        <v>45025</v>
      </c>
      <c r="B176" s="296"/>
      <c r="C176" s="274"/>
      <c r="D176" s="274"/>
      <c r="E176" s="275"/>
      <c r="F176" s="899"/>
      <c r="G176" s="899"/>
    </row>
    <row r="177" spans="1:7" ht="17.399999999999999" customHeight="1" thickBot="1" x14ac:dyDescent="0.35">
      <c r="A177" s="291">
        <v>45026</v>
      </c>
      <c r="B177" s="296"/>
      <c r="C177" s="274"/>
      <c r="D177" s="274"/>
      <c r="E177" s="275"/>
      <c r="F177" s="899"/>
      <c r="G177" s="899"/>
    </row>
    <row r="178" spans="1:7" ht="21" customHeight="1" thickBot="1" x14ac:dyDescent="0.35">
      <c r="A178" s="291">
        <v>45027</v>
      </c>
      <c r="B178" s="296" t="s">
        <v>91</v>
      </c>
      <c r="C178" s="274" t="s">
        <v>241</v>
      </c>
      <c r="D178" s="274"/>
      <c r="E178" s="275">
        <v>12394000</v>
      </c>
      <c r="F178" s="899"/>
      <c r="G178" s="899"/>
    </row>
    <row r="179" spans="1:7" ht="18.600000000000001" customHeight="1" thickBot="1" x14ac:dyDescent="0.35">
      <c r="A179" s="291">
        <v>45028</v>
      </c>
      <c r="B179" s="296" t="s">
        <v>67</v>
      </c>
      <c r="C179" s="274" t="s">
        <v>241</v>
      </c>
      <c r="D179" s="274"/>
      <c r="E179" s="275">
        <v>98897573.700000003</v>
      </c>
      <c r="F179" s="899"/>
      <c r="G179" s="899"/>
    </row>
    <row r="180" spans="1:7" ht="19.8" customHeight="1" thickBot="1" x14ac:dyDescent="0.35">
      <c r="A180" s="291">
        <v>45029</v>
      </c>
      <c r="B180" s="296"/>
      <c r="C180" s="274"/>
      <c r="D180" s="274"/>
      <c r="E180" s="275"/>
      <c r="F180" s="899"/>
      <c r="G180" s="899"/>
    </row>
    <row r="181" spans="1:7" ht="18.600000000000001" customHeight="1" thickBot="1" x14ac:dyDescent="0.35">
      <c r="A181" s="291">
        <v>45030</v>
      </c>
      <c r="B181" s="296"/>
      <c r="C181" s="274"/>
      <c r="D181" s="274"/>
      <c r="E181" s="275"/>
      <c r="F181" s="899"/>
      <c r="G181" s="899"/>
    </row>
    <row r="182" spans="1:7" ht="20.399999999999999" customHeight="1" thickBot="1" x14ac:dyDescent="0.35">
      <c r="A182" s="291">
        <v>45031</v>
      </c>
      <c r="B182" s="296"/>
      <c r="C182" s="274"/>
      <c r="D182" s="274"/>
      <c r="E182" s="275"/>
      <c r="F182" s="899"/>
      <c r="G182" s="899"/>
    </row>
    <row r="183" spans="1:7" ht="19.8" customHeight="1" thickBot="1" x14ac:dyDescent="0.35">
      <c r="A183" s="291">
        <v>45032</v>
      </c>
      <c r="B183" s="296"/>
      <c r="C183" s="274"/>
      <c r="D183" s="274"/>
      <c r="E183" s="275"/>
      <c r="F183" s="899"/>
      <c r="G183" s="899"/>
    </row>
    <row r="184" spans="1:7" ht="17.399999999999999" customHeight="1" thickBot="1" x14ac:dyDescent="0.35">
      <c r="A184" s="291">
        <v>45033</v>
      </c>
      <c r="B184" s="296"/>
      <c r="C184" s="274"/>
      <c r="D184" s="274"/>
      <c r="E184" s="275"/>
      <c r="F184" s="899"/>
      <c r="G184" s="899"/>
    </row>
    <row r="185" spans="1:7" ht="15" customHeight="1" thickBot="1" x14ac:dyDescent="0.35">
      <c r="A185" s="291">
        <v>45034</v>
      </c>
      <c r="B185" s="296"/>
      <c r="C185" s="274"/>
      <c r="D185" s="274"/>
      <c r="E185" s="275"/>
      <c r="F185" s="899"/>
      <c r="G185" s="899"/>
    </row>
    <row r="186" spans="1:7" ht="19.2" customHeight="1" thickBot="1" x14ac:dyDescent="0.35">
      <c r="A186" s="291">
        <v>45035</v>
      </c>
      <c r="B186" s="296" t="s">
        <v>221</v>
      </c>
      <c r="C186" s="274" t="s">
        <v>242</v>
      </c>
      <c r="D186" s="274"/>
      <c r="E186" s="275">
        <v>7525386</v>
      </c>
      <c r="F186" s="899"/>
      <c r="G186" s="899"/>
    </row>
    <row r="187" spans="1:7" ht="20.399999999999999" customHeight="1" thickBot="1" x14ac:dyDescent="0.35">
      <c r="A187" s="291">
        <v>45036</v>
      </c>
      <c r="B187" s="296"/>
      <c r="C187" s="274"/>
      <c r="D187" s="274"/>
      <c r="E187" s="275"/>
      <c r="F187" s="899"/>
      <c r="G187" s="899"/>
    </row>
    <row r="188" spans="1:7" ht="20.399999999999999" customHeight="1" thickBot="1" x14ac:dyDescent="0.35">
      <c r="A188" s="291">
        <v>45037</v>
      </c>
      <c r="B188" s="296"/>
      <c r="C188" s="274"/>
      <c r="D188" s="274"/>
      <c r="E188" s="275"/>
      <c r="F188" s="899"/>
      <c r="G188" s="899"/>
    </row>
    <row r="189" spans="1:7" ht="19.2" customHeight="1" thickBot="1" x14ac:dyDescent="0.35">
      <c r="A189" s="291">
        <v>45038</v>
      </c>
      <c r="B189" s="296"/>
      <c r="C189" s="274"/>
      <c r="D189" s="274"/>
      <c r="E189" s="275"/>
      <c r="F189" s="899"/>
      <c r="G189" s="899"/>
    </row>
    <row r="190" spans="1:7" ht="18.600000000000001" customHeight="1" thickBot="1" x14ac:dyDescent="0.35">
      <c r="A190" s="291">
        <v>45039</v>
      </c>
      <c r="B190" s="296"/>
      <c r="C190" s="274"/>
      <c r="D190" s="274"/>
      <c r="E190" s="275"/>
      <c r="F190" s="899"/>
      <c r="G190" s="899"/>
    </row>
    <row r="191" spans="1:7" ht="18.600000000000001" customHeight="1" thickBot="1" x14ac:dyDescent="0.35">
      <c r="A191" s="291">
        <v>45040</v>
      </c>
      <c r="B191" s="296"/>
      <c r="C191" s="274"/>
      <c r="D191" s="274"/>
      <c r="E191" s="275"/>
      <c r="F191" s="899"/>
      <c r="G191" s="899"/>
    </row>
    <row r="192" spans="1:7" ht="18.600000000000001" customHeight="1" thickBot="1" x14ac:dyDescent="0.35">
      <c r="A192" s="291">
        <v>45041</v>
      </c>
      <c r="B192" s="296"/>
      <c r="C192" s="274"/>
      <c r="D192" s="274"/>
      <c r="E192" s="275"/>
      <c r="F192" s="899"/>
      <c r="G192" s="899"/>
    </row>
    <row r="193" spans="1:7" ht="21.6" customHeight="1" thickBot="1" x14ac:dyDescent="0.35">
      <c r="A193" s="291">
        <v>45042</v>
      </c>
      <c r="B193" s="296"/>
      <c r="C193" s="274"/>
      <c r="D193" s="274"/>
      <c r="E193" s="275"/>
      <c r="F193" s="899"/>
      <c r="G193" s="899"/>
    </row>
    <row r="194" spans="1:7" ht="18" customHeight="1" thickBot="1" x14ac:dyDescent="0.35">
      <c r="A194" s="291">
        <v>45043</v>
      </c>
      <c r="B194" s="296"/>
      <c r="C194" s="274"/>
      <c r="D194" s="274"/>
      <c r="E194" s="275"/>
      <c r="F194" s="899"/>
      <c r="G194" s="899"/>
    </row>
    <row r="195" spans="1:7" ht="18.600000000000001" customHeight="1" thickBot="1" x14ac:dyDescent="0.35">
      <c r="A195" s="291">
        <v>45044</v>
      </c>
      <c r="B195" s="296"/>
      <c r="C195" s="274"/>
      <c r="D195" s="274"/>
      <c r="E195" s="275"/>
      <c r="F195" s="899"/>
      <c r="G195" s="899"/>
    </row>
    <row r="196" spans="1:7" ht="15.6" customHeight="1" thickBot="1" x14ac:dyDescent="0.35">
      <c r="A196" s="291">
        <v>45045</v>
      </c>
      <c r="B196" s="296"/>
      <c r="C196" s="274"/>
      <c r="D196" s="274"/>
      <c r="E196" s="275"/>
      <c r="F196" s="899"/>
      <c r="G196" s="899"/>
    </row>
    <row r="197" spans="1:7" ht="16.2" customHeight="1" thickBot="1" x14ac:dyDescent="0.35">
      <c r="A197" s="291">
        <v>45046</v>
      </c>
      <c r="B197" s="292"/>
      <c r="C197" s="293"/>
      <c r="D197" s="293"/>
      <c r="E197" s="294"/>
      <c r="F197" s="900"/>
      <c r="G197" s="900"/>
    </row>
    <row r="198" spans="1:7" x14ac:dyDescent="0.3">
      <c r="A198" s="297"/>
      <c r="B198" s="222"/>
      <c r="C198" s="222"/>
      <c r="D198" s="222"/>
      <c r="E198" s="298"/>
    </row>
    <row r="199" spans="1:7" x14ac:dyDescent="0.3">
      <c r="A199" s="297"/>
      <c r="B199" s="222"/>
      <c r="C199" s="222"/>
      <c r="D199" s="222"/>
      <c r="E199" s="298"/>
    </row>
    <row r="200" spans="1:7" x14ac:dyDescent="0.3">
      <c r="A200" s="222"/>
      <c r="B200" s="222"/>
      <c r="C200" s="222"/>
      <c r="D200" s="299" t="s">
        <v>249</v>
      </c>
      <c r="E200" s="300" t="e">
        <f>SUM(E5:E199)</f>
        <v>#REF!</v>
      </c>
    </row>
    <row r="201" spans="1:7" x14ac:dyDescent="0.3">
      <c r="A201" s="222"/>
      <c r="B201" s="222"/>
      <c r="C201" s="222"/>
      <c r="D201" s="222"/>
      <c r="E201" s="298"/>
    </row>
    <row r="202" spans="1:7" x14ac:dyDescent="0.3">
      <c r="A202" s="222"/>
      <c r="B202" s="222"/>
      <c r="C202" s="222"/>
      <c r="D202" s="299" t="s">
        <v>223</v>
      </c>
      <c r="E202" s="300" t="e">
        <f>E200</f>
        <v>#REF!</v>
      </c>
    </row>
    <row r="203" spans="1:7" x14ac:dyDescent="0.3">
      <c r="A203" s="222"/>
      <c r="B203" s="222"/>
      <c r="C203" s="222"/>
      <c r="D203" s="222"/>
      <c r="E203" s="298"/>
    </row>
  </sheetData>
  <mergeCells count="15">
    <mergeCell ref="G168:G197"/>
    <mergeCell ref="F168:F197"/>
    <mergeCell ref="A6:E6"/>
    <mergeCell ref="A1:E1"/>
    <mergeCell ref="A5:G5"/>
    <mergeCell ref="F108:F136"/>
    <mergeCell ref="G108:G136"/>
    <mergeCell ref="F137:F167"/>
    <mergeCell ref="G137:G167"/>
    <mergeCell ref="F6:F39"/>
    <mergeCell ref="G6:G39"/>
    <mergeCell ref="F40:F74"/>
    <mergeCell ref="G40:G74"/>
    <mergeCell ref="F75:F107"/>
    <mergeCell ref="G75:G107"/>
  </mergeCells>
  <pageMargins left="0.7" right="0.7" top="0.75" bottom="0.75" header="0.3" footer="0.3"/>
  <pageSetup paperSize="9" orientation="portrait" r:id="rId1"/>
  <ignoredErrors>
    <ignoredError sqref="F10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DA43-62F1-4D13-9F84-C1EB27662AF7}">
  <sheetPr>
    <pageSetUpPr fitToPage="1"/>
  </sheetPr>
  <dimension ref="A1:H87"/>
  <sheetViews>
    <sheetView showGridLines="0" topLeftCell="A11" zoomScale="97" zoomScaleNormal="97" workbookViewId="0">
      <selection activeCell="K25" sqref="K25"/>
    </sheetView>
  </sheetViews>
  <sheetFormatPr defaultColWidth="8.90625" defaultRowHeight="13.8" x14ac:dyDescent="0.3"/>
  <cols>
    <col min="1" max="1" width="16.1796875" style="3" customWidth="1"/>
    <col min="2" max="2" width="12.36328125" style="3" customWidth="1"/>
    <col min="3" max="3" width="2.453125" style="31" customWidth="1"/>
    <col min="4" max="4" width="13.6328125" style="3" customWidth="1"/>
    <col min="5" max="5" width="8.90625" style="3"/>
    <col min="6" max="6" width="8.54296875" style="3" bestFit="1" customWidth="1"/>
    <col min="7" max="7" width="3.1796875" style="3" bestFit="1" customWidth="1"/>
    <col min="8" max="8" width="11.08984375" style="3" customWidth="1"/>
    <col min="9" max="16384" width="8.90625" style="3"/>
  </cols>
  <sheetData>
    <row r="1" spans="1:8" ht="18" x14ac:dyDescent="0.35">
      <c r="A1" s="7" t="s">
        <v>35</v>
      </c>
      <c r="B1" s="53"/>
      <c r="C1" s="196"/>
      <c r="D1" s="2"/>
    </row>
    <row r="2" spans="1:8" ht="18.600000000000001" thickBot="1" x14ac:dyDescent="0.4">
      <c r="A2" s="8" t="s">
        <v>152</v>
      </c>
      <c r="B2" s="47"/>
      <c r="C2" s="72"/>
      <c r="D2" s="27">
        <f>'FINANCIAL COST SUMMARY'!K2</f>
        <v>46204</v>
      </c>
    </row>
    <row r="3" spans="1:8" x14ac:dyDescent="0.3">
      <c r="A3" s="4"/>
      <c r="B3" s="49"/>
      <c r="C3" s="197"/>
      <c r="D3" s="49"/>
    </row>
    <row r="4" spans="1:8" x14ac:dyDescent="0.3">
      <c r="A4" s="943" t="s">
        <v>19</v>
      </c>
      <c r="B4" s="943"/>
      <c r="C4" s="943"/>
      <c r="D4" s="943"/>
    </row>
    <row r="5" spans="1:8" s="75" customFormat="1" ht="54.6" customHeight="1" x14ac:dyDescent="0.25">
      <c r="A5" s="51" t="s">
        <v>2</v>
      </c>
      <c r="B5" s="81"/>
      <c r="C5" s="198"/>
      <c r="D5" s="46" t="s">
        <v>0</v>
      </c>
      <c r="F5" s="82"/>
      <c r="H5" s="82"/>
    </row>
    <row r="6" spans="1:8" x14ac:dyDescent="0.3">
      <c r="A6" s="6">
        <v>44835</v>
      </c>
      <c r="B6" s="59"/>
      <c r="C6" s="59"/>
      <c r="D6" s="5">
        <f t="shared" ref="D6:D36" si="0">SUM(B6:C6)</f>
        <v>0</v>
      </c>
      <c r="E6" s="31"/>
      <c r="F6" s="82">
        <v>44802</v>
      </c>
      <c r="G6" s="75">
        <v>180</v>
      </c>
      <c r="H6" s="82">
        <f>F6+G6</f>
        <v>44982</v>
      </c>
    </row>
    <row r="7" spans="1:8" x14ac:dyDescent="0.3">
      <c r="A7" s="6">
        <v>44836</v>
      </c>
      <c r="B7" s="59"/>
      <c r="C7" s="59"/>
      <c r="D7" s="5">
        <f t="shared" si="0"/>
        <v>0</v>
      </c>
      <c r="E7" s="76"/>
      <c r="G7" s="76"/>
      <c r="H7" s="76"/>
    </row>
    <row r="8" spans="1:8" x14ac:dyDescent="0.3">
      <c r="A8" s="6">
        <v>44837</v>
      </c>
      <c r="B8" s="59"/>
      <c r="C8" s="59"/>
      <c r="D8" s="5">
        <f t="shared" si="0"/>
        <v>0</v>
      </c>
    </row>
    <row r="9" spans="1:8" x14ac:dyDescent="0.3">
      <c r="A9" s="6">
        <v>44838</v>
      </c>
      <c r="B9" s="59"/>
      <c r="C9" s="59"/>
      <c r="D9" s="5">
        <f t="shared" si="0"/>
        <v>0</v>
      </c>
      <c r="F9" s="76"/>
      <c r="H9" s="76"/>
    </row>
    <row r="10" spans="1:8" x14ac:dyDescent="0.3">
      <c r="A10" s="6">
        <v>44839</v>
      </c>
      <c r="B10" s="59"/>
      <c r="C10" s="59"/>
      <c r="D10" s="5">
        <f t="shared" si="0"/>
        <v>0</v>
      </c>
    </row>
    <row r="11" spans="1:8" x14ac:dyDescent="0.3">
      <c r="A11" s="6">
        <v>44840</v>
      </c>
      <c r="B11" s="59"/>
      <c r="C11" s="59"/>
      <c r="D11" s="5">
        <f t="shared" si="0"/>
        <v>0</v>
      </c>
    </row>
    <row r="12" spans="1:8" x14ac:dyDescent="0.3">
      <c r="A12" s="6">
        <v>44841</v>
      </c>
      <c r="B12" s="59"/>
      <c r="C12" s="59"/>
      <c r="D12" s="5">
        <f t="shared" si="0"/>
        <v>0</v>
      </c>
      <c r="E12" s="76"/>
      <c r="G12" s="76"/>
    </row>
    <row r="13" spans="1:8" x14ac:dyDescent="0.3">
      <c r="A13" s="6">
        <v>44842</v>
      </c>
      <c r="B13" s="59"/>
      <c r="C13" s="59"/>
      <c r="D13" s="5">
        <f t="shared" si="0"/>
        <v>0</v>
      </c>
    </row>
    <row r="14" spans="1:8" x14ac:dyDescent="0.3">
      <c r="A14" s="6">
        <v>44843</v>
      </c>
      <c r="B14" s="59"/>
      <c r="C14" s="59"/>
      <c r="D14" s="5">
        <f t="shared" si="0"/>
        <v>0</v>
      </c>
    </row>
    <row r="15" spans="1:8" x14ac:dyDescent="0.3">
      <c r="A15" s="6">
        <v>44844</v>
      </c>
      <c r="B15" s="59"/>
      <c r="C15" s="59"/>
      <c r="D15" s="5">
        <f t="shared" si="0"/>
        <v>0</v>
      </c>
    </row>
    <row r="16" spans="1:8" x14ac:dyDescent="0.3">
      <c r="A16" s="6">
        <v>44845</v>
      </c>
      <c r="B16" s="59"/>
      <c r="C16" s="59"/>
      <c r="D16" s="5">
        <f t="shared" si="0"/>
        <v>0</v>
      </c>
    </row>
    <row r="17" spans="1:5" x14ac:dyDescent="0.3">
      <c r="A17" s="6">
        <v>44846</v>
      </c>
      <c r="B17" s="59"/>
      <c r="C17" s="59"/>
      <c r="D17" s="5">
        <f t="shared" si="0"/>
        <v>0</v>
      </c>
    </row>
    <row r="18" spans="1:5" x14ac:dyDescent="0.3">
      <c r="A18" s="6">
        <v>44847</v>
      </c>
      <c r="B18" s="59"/>
      <c r="C18" s="59"/>
      <c r="D18" s="5">
        <f t="shared" si="0"/>
        <v>0</v>
      </c>
    </row>
    <row r="19" spans="1:5" x14ac:dyDescent="0.3">
      <c r="A19" s="6">
        <v>44848</v>
      </c>
      <c r="B19" s="59"/>
      <c r="C19" s="59"/>
      <c r="D19" s="5">
        <f t="shared" si="0"/>
        <v>0</v>
      </c>
    </row>
    <row r="20" spans="1:5" x14ac:dyDescent="0.3">
      <c r="A20" s="6">
        <v>44849</v>
      </c>
      <c r="B20" s="59"/>
      <c r="C20" s="59"/>
      <c r="D20" s="5">
        <f t="shared" si="0"/>
        <v>0</v>
      </c>
    </row>
    <row r="21" spans="1:5" x14ac:dyDescent="0.3">
      <c r="A21" s="6">
        <v>44850</v>
      </c>
      <c r="B21" s="59"/>
      <c r="C21" s="59"/>
      <c r="D21" s="5">
        <f t="shared" si="0"/>
        <v>0</v>
      </c>
    </row>
    <row r="22" spans="1:5" x14ac:dyDescent="0.3">
      <c r="A22" s="6">
        <v>44851</v>
      </c>
      <c r="B22" s="59"/>
      <c r="C22" s="59"/>
      <c r="D22" s="5">
        <f t="shared" si="0"/>
        <v>0</v>
      </c>
    </row>
    <row r="23" spans="1:5" x14ac:dyDescent="0.3">
      <c r="A23" s="6">
        <v>44852</v>
      </c>
      <c r="B23" s="59"/>
      <c r="C23" s="59"/>
      <c r="D23" s="5">
        <f t="shared" si="0"/>
        <v>0</v>
      </c>
    </row>
    <row r="24" spans="1:5" x14ac:dyDescent="0.3">
      <c r="A24" s="6">
        <v>44853</v>
      </c>
      <c r="B24" s="59"/>
      <c r="C24" s="59"/>
      <c r="D24" s="5">
        <f t="shared" si="0"/>
        <v>0</v>
      </c>
    </row>
    <row r="25" spans="1:5" x14ac:dyDescent="0.3">
      <c r="A25" s="6">
        <v>44854</v>
      </c>
      <c r="B25" s="59"/>
      <c r="C25" s="59"/>
      <c r="D25" s="5">
        <f t="shared" si="0"/>
        <v>0</v>
      </c>
    </row>
    <row r="26" spans="1:5" x14ac:dyDescent="0.3">
      <c r="A26" s="6">
        <v>44855</v>
      </c>
      <c r="B26" s="59"/>
      <c r="C26" s="59"/>
      <c r="D26" s="5">
        <f t="shared" si="0"/>
        <v>0</v>
      </c>
    </row>
    <row r="27" spans="1:5" x14ac:dyDescent="0.3">
      <c r="A27" s="6">
        <v>44856</v>
      </c>
      <c r="B27" s="59"/>
      <c r="C27" s="59"/>
      <c r="D27" s="5">
        <f t="shared" si="0"/>
        <v>0</v>
      </c>
    </row>
    <row r="28" spans="1:5" x14ac:dyDescent="0.3">
      <c r="A28" s="6">
        <v>44857</v>
      </c>
      <c r="B28" s="59"/>
      <c r="C28" s="59"/>
      <c r="D28" s="5">
        <f t="shared" si="0"/>
        <v>0</v>
      </c>
    </row>
    <row r="29" spans="1:5" x14ac:dyDescent="0.3">
      <c r="A29" s="6">
        <v>44858</v>
      </c>
      <c r="B29" s="59"/>
      <c r="C29" s="59"/>
      <c r="D29" s="5">
        <f t="shared" si="0"/>
        <v>0</v>
      </c>
      <c r="E29" s="31"/>
    </row>
    <row r="30" spans="1:5" x14ac:dyDescent="0.3">
      <c r="A30" s="6">
        <v>44859</v>
      </c>
      <c r="B30" s="59"/>
      <c r="C30" s="59"/>
      <c r="D30" s="5">
        <f t="shared" si="0"/>
        <v>0</v>
      </c>
      <c r="E30" s="31"/>
    </row>
    <row r="31" spans="1:5" x14ac:dyDescent="0.3">
      <c r="A31" s="6">
        <v>44860</v>
      </c>
      <c r="B31" s="59"/>
      <c r="C31" s="59"/>
      <c r="D31" s="5">
        <f t="shared" si="0"/>
        <v>0</v>
      </c>
    </row>
    <row r="32" spans="1:5" x14ac:dyDescent="0.3">
      <c r="A32" s="6">
        <v>44861</v>
      </c>
      <c r="B32" s="59"/>
      <c r="C32" s="59"/>
      <c r="D32" s="5">
        <f t="shared" si="0"/>
        <v>0</v>
      </c>
    </row>
    <row r="33" spans="1:6" x14ac:dyDescent="0.3">
      <c r="A33" s="6">
        <v>44862</v>
      </c>
      <c r="B33" s="59"/>
      <c r="C33" s="59"/>
      <c r="D33" s="5">
        <f t="shared" si="0"/>
        <v>0</v>
      </c>
    </row>
    <row r="34" spans="1:6" x14ac:dyDescent="0.3">
      <c r="A34" s="6">
        <v>44863</v>
      </c>
      <c r="B34" s="59"/>
      <c r="C34" s="59"/>
      <c r="D34" s="5">
        <f t="shared" si="0"/>
        <v>0</v>
      </c>
    </row>
    <row r="35" spans="1:6" x14ac:dyDescent="0.3">
      <c r="A35" s="6">
        <v>44864</v>
      </c>
      <c r="B35" s="59"/>
      <c r="C35" s="59"/>
      <c r="D35" s="5">
        <f t="shared" si="0"/>
        <v>0</v>
      </c>
    </row>
    <row r="36" spans="1:6" x14ac:dyDescent="0.3">
      <c r="A36" s="6">
        <v>44865</v>
      </c>
      <c r="B36" s="59"/>
      <c r="C36" s="59"/>
      <c r="D36" s="5">
        <f t="shared" si="0"/>
        <v>0</v>
      </c>
      <c r="E36" s="31"/>
    </row>
    <row r="37" spans="1:6" x14ac:dyDescent="0.3">
      <c r="A37" s="939"/>
      <c r="B37" s="939"/>
      <c r="C37" s="939"/>
      <c r="D37" s="939"/>
    </row>
    <row r="38" spans="1:6" x14ac:dyDescent="0.3">
      <c r="A38" s="943" t="s">
        <v>56</v>
      </c>
      <c r="B38" s="943"/>
      <c r="C38" s="943"/>
      <c r="D38" s="943"/>
    </row>
    <row r="39" spans="1:6" s="75" customFormat="1" ht="56.4" customHeight="1" x14ac:dyDescent="0.25">
      <c r="A39" s="51" t="s">
        <v>2</v>
      </c>
      <c r="B39" s="46"/>
      <c r="C39" s="198"/>
      <c r="D39" s="46" t="s">
        <v>0</v>
      </c>
    </row>
    <row r="40" spans="1:6" s="91" customFormat="1" ht="27.6" x14ac:dyDescent="0.25">
      <c r="A40" s="88" t="s">
        <v>179</v>
      </c>
      <c r="B40" s="89"/>
      <c r="C40" s="194"/>
      <c r="D40" s="90"/>
    </row>
    <row r="41" spans="1:6" x14ac:dyDescent="0.3">
      <c r="A41" s="6">
        <f>A6</f>
        <v>44835</v>
      </c>
      <c r="B41" s="5">
        <f t="shared" ref="B41:B56" si="1">IF(B6&lt;0,0,B6*B$40/365)</f>
        <v>0</v>
      </c>
      <c r="C41" s="54"/>
      <c r="D41" s="5">
        <f t="shared" ref="D41:D71" si="2">SUM(B41:C41)</f>
        <v>0</v>
      </c>
    </row>
    <row r="42" spans="1:6" x14ac:dyDescent="0.3">
      <c r="A42" s="6">
        <f t="shared" ref="A42:A71" si="3">A7</f>
        <v>44836</v>
      </c>
      <c r="B42" s="5">
        <f t="shared" si="1"/>
        <v>0</v>
      </c>
      <c r="C42" s="54"/>
      <c r="D42" s="5">
        <f t="shared" si="2"/>
        <v>0</v>
      </c>
    </row>
    <row r="43" spans="1:6" x14ac:dyDescent="0.3">
      <c r="A43" s="6">
        <f t="shared" si="3"/>
        <v>44837</v>
      </c>
      <c r="B43" s="5">
        <f t="shared" si="1"/>
        <v>0</v>
      </c>
      <c r="C43" s="54"/>
      <c r="D43" s="5">
        <f t="shared" si="2"/>
        <v>0</v>
      </c>
    </row>
    <row r="44" spans="1:6" x14ac:dyDescent="0.3">
      <c r="A44" s="6">
        <f t="shared" si="3"/>
        <v>44838</v>
      </c>
      <c r="B44" s="5">
        <f t="shared" si="1"/>
        <v>0</v>
      </c>
      <c r="C44" s="54"/>
      <c r="D44" s="5">
        <f t="shared" si="2"/>
        <v>0</v>
      </c>
      <c r="F44" s="34"/>
    </row>
    <row r="45" spans="1:6" x14ac:dyDescent="0.3">
      <c r="A45" s="6">
        <f t="shared" si="3"/>
        <v>44839</v>
      </c>
      <c r="B45" s="5">
        <f t="shared" si="1"/>
        <v>0</v>
      </c>
      <c r="C45" s="54"/>
      <c r="D45" s="5">
        <f t="shared" si="2"/>
        <v>0</v>
      </c>
    </row>
    <row r="46" spans="1:6" x14ac:dyDescent="0.3">
      <c r="A46" s="6">
        <f t="shared" si="3"/>
        <v>44840</v>
      </c>
      <c r="B46" s="5">
        <f t="shared" si="1"/>
        <v>0</v>
      </c>
      <c r="C46" s="54"/>
      <c r="D46" s="5">
        <f t="shared" si="2"/>
        <v>0</v>
      </c>
    </row>
    <row r="47" spans="1:6" x14ac:dyDescent="0.3">
      <c r="A47" s="6">
        <f t="shared" si="3"/>
        <v>44841</v>
      </c>
      <c r="B47" s="5">
        <f t="shared" si="1"/>
        <v>0</v>
      </c>
      <c r="C47" s="54"/>
      <c r="D47" s="5">
        <f t="shared" si="2"/>
        <v>0</v>
      </c>
    </row>
    <row r="48" spans="1:6" x14ac:dyDescent="0.3">
      <c r="A48" s="6">
        <f t="shared" si="3"/>
        <v>44842</v>
      </c>
      <c r="B48" s="5">
        <f t="shared" si="1"/>
        <v>0</v>
      </c>
      <c r="C48" s="54"/>
      <c r="D48" s="5">
        <f t="shared" si="2"/>
        <v>0</v>
      </c>
    </row>
    <row r="49" spans="1:4" x14ac:dyDescent="0.3">
      <c r="A49" s="6">
        <f t="shared" si="3"/>
        <v>44843</v>
      </c>
      <c r="B49" s="5">
        <f t="shared" si="1"/>
        <v>0</v>
      </c>
      <c r="C49" s="54"/>
      <c r="D49" s="5">
        <f t="shared" si="2"/>
        <v>0</v>
      </c>
    </row>
    <row r="50" spans="1:4" x14ac:dyDescent="0.3">
      <c r="A50" s="6">
        <f t="shared" si="3"/>
        <v>44844</v>
      </c>
      <c r="B50" s="5">
        <f t="shared" si="1"/>
        <v>0</v>
      </c>
      <c r="C50" s="54"/>
      <c r="D50" s="5">
        <f t="shared" si="2"/>
        <v>0</v>
      </c>
    </row>
    <row r="51" spans="1:4" x14ac:dyDescent="0.3">
      <c r="A51" s="6">
        <f t="shared" si="3"/>
        <v>44845</v>
      </c>
      <c r="B51" s="5">
        <f t="shared" si="1"/>
        <v>0</v>
      </c>
      <c r="C51" s="54"/>
      <c r="D51" s="5">
        <f t="shared" si="2"/>
        <v>0</v>
      </c>
    </row>
    <row r="52" spans="1:4" x14ac:dyDescent="0.3">
      <c r="A52" s="6">
        <f t="shared" si="3"/>
        <v>44846</v>
      </c>
      <c r="B52" s="5">
        <f t="shared" si="1"/>
        <v>0</v>
      </c>
      <c r="C52" s="54"/>
      <c r="D52" s="5">
        <f t="shared" si="2"/>
        <v>0</v>
      </c>
    </row>
    <row r="53" spans="1:4" x14ac:dyDescent="0.3">
      <c r="A53" s="6">
        <f t="shared" si="3"/>
        <v>44847</v>
      </c>
      <c r="B53" s="5">
        <f t="shared" si="1"/>
        <v>0</v>
      </c>
      <c r="C53" s="54"/>
      <c r="D53" s="5">
        <f t="shared" si="2"/>
        <v>0</v>
      </c>
    </row>
    <row r="54" spans="1:4" x14ac:dyDescent="0.3">
      <c r="A54" s="6">
        <f t="shared" si="3"/>
        <v>44848</v>
      </c>
      <c r="B54" s="5">
        <f t="shared" si="1"/>
        <v>0</v>
      </c>
      <c r="C54" s="54"/>
      <c r="D54" s="5">
        <f t="shared" si="2"/>
        <v>0</v>
      </c>
    </row>
    <row r="55" spans="1:4" x14ac:dyDescent="0.3">
      <c r="A55" s="6">
        <f t="shared" si="3"/>
        <v>44849</v>
      </c>
      <c r="B55" s="5">
        <f t="shared" si="1"/>
        <v>0</v>
      </c>
      <c r="C55" s="54"/>
      <c r="D55" s="5">
        <f t="shared" si="2"/>
        <v>0</v>
      </c>
    </row>
    <row r="56" spans="1:4" x14ac:dyDescent="0.3">
      <c r="A56" s="6">
        <f t="shared" si="3"/>
        <v>44850</v>
      </c>
      <c r="B56" s="5">
        <f t="shared" si="1"/>
        <v>0</v>
      </c>
      <c r="C56" s="54"/>
      <c r="D56" s="5">
        <f t="shared" si="2"/>
        <v>0</v>
      </c>
    </row>
    <row r="57" spans="1:4" x14ac:dyDescent="0.3">
      <c r="A57" s="6">
        <f t="shared" si="3"/>
        <v>44851</v>
      </c>
      <c r="B57" s="5">
        <f t="shared" ref="B57:B71" si="4">IF(B22&lt;0,0,B22*B$40/365)</f>
        <v>0</v>
      </c>
      <c r="C57" s="54"/>
      <c r="D57" s="5">
        <f t="shared" si="2"/>
        <v>0</v>
      </c>
    </row>
    <row r="58" spans="1:4" x14ac:dyDescent="0.3">
      <c r="A58" s="6">
        <f t="shared" si="3"/>
        <v>44852</v>
      </c>
      <c r="B58" s="5">
        <f t="shared" si="4"/>
        <v>0</v>
      </c>
      <c r="C58" s="54"/>
      <c r="D58" s="5">
        <f t="shared" si="2"/>
        <v>0</v>
      </c>
    </row>
    <row r="59" spans="1:4" x14ac:dyDescent="0.3">
      <c r="A59" s="6">
        <f t="shared" si="3"/>
        <v>44853</v>
      </c>
      <c r="B59" s="5">
        <f t="shared" si="4"/>
        <v>0</v>
      </c>
      <c r="C59" s="54"/>
      <c r="D59" s="5">
        <f t="shared" si="2"/>
        <v>0</v>
      </c>
    </row>
    <row r="60" spans="1:4" x14ac:dyDescent="0.3">
      <c r="A60" s="6">
        <f t="shared" si="3"/>
        <v>44854</v>
      </c>
      <c r="B60" s="5">
        <f t="shared" si="4"/>
        <v>0</v>
      </c>
      <c r="C60" s="54"/>
      <c r="D60" s="5">
        <f t="shared" si="2"/>
        <v>0</v>
      </c>
    </row>
    <row r="61" spans="1:4" x14ac:dyDescent="0.3">
      <c r="A61" s="6">
        <f t="shared" si="3"/>
        <v>44855</v>
      </c>
      <c r="B61" s="5">
        <f t="shared" si="4"/>
        <v>0</v>
      </c>
      <c r="C61" s="54"/>
      <c r="D61" s="5">
        <f t="shared" si="2"/>
        <v>0</v>
      </c>
    </row>
    <row r="62" spans="1:4" x14ac:dyDescent="0.3">
      <c r="A62" s="6">
        <f t="shared" si="3"/>
        <v>44856</v>
      </c>
      <c r="B62" s="5">
        <f t="shared" si="4"/>
        <v>0</v>
      </c>
      <c r="C62" s="54"/>
      <c r="D62" s="5">
        <f t="shared" si="2"/>
        <v>0</v>
      </c>
    </row>
    <row r="63" spans="1:4" x14ac:dyDescent="0.3">
      <c r="A63" s="6">
        <f t="shared" si="3"/>
        <v>44857</v>
      </c>
      <c r="B63" s="5">
        <f t="shared" si="4"/>
        <v>0</v>
      </c>
      <c r="C63" s="54"/>
      <c r="D63" s="5">
        <f t="shared" si="2"/>
        <v>0</v>
      </c>
    </row>
    <row r="64" spans="1:4" x14ac:dyDescent="0.3">
      <c r="A64" s="6">
        <f t="shared" si="3"/>
        <v>44858</v>
      </c>
      <c r="B64" s="5">
        <f t="shared" si="4"/>
        <v>0</v>
      </c>
      <c r="C64" s="54"/>
      <c r="D64" s="5">
        <f t="shared" si="2"/>
        <v>0</v>
      </c>
    </row>
    <row r="65" spans="1:8" x14ac:dyDescent="0.3">
      <c r="A65" s="6">
        <f t="shared" si="3"/>
        <v>44859</v>
      </c>
      <c r="B65" s="5">
        <f t="shared" si="4"/>
        <v>0</v>
      </c>
      <c r="C65" s="54"/>
      <c r="D65" s="5">
        <f t="shared" si="2"/>
        <v>0</v>
      </c>
    </row>
    <row r="66" spans="1:8" x14ac:dyDescent="0.3">
      <c r="A66" s="6">
        <f t="shared" si="3"/>
        <v>44860</v>
      </c>
      <c r="B66" s="5">
        <f t="shared" si="4"/>
        <v>0</v>
      </c>
      <c r="C66" s="54"/>
      <c r="D66" s="5">
        <f t="shared" si="2"/>
        <v>0</v>
      </c>
    </row>
    <row r="67" spans="1:8" x14ac:dyDescent="0.3">
      <c r="A67" s="6">
        <f t="shared" si="3"/>
        <v>44861</v>
      </c>
      <c r="B67" s="5">
        <f t="shared" si="4"/>
        <v>0</v>
      </c>
      <c r="C67" s="54"/>
      <c r="D67" s="5">
        <f t="shared" si="2"/>
        <v>0</v>
      </c>
    </row>
    <row r="68" spans="1:8" x14ac:dyDescent="0.3">
      <c r="A68" s="6">
        <f t="shared" si="3"/>
        <v>44862</v>
      </c>
      <c r="B68" s="5">
        <f t="shared" si="4"/>
        <v>0</v>
      </c>
      <c r="C68" s="54"/>
      <c r="D68" s="5">
        <f t="shared" si="2"/>
        <v>0</v>
      </c>
    </row>
    <row r="69" spans="1:8" x14ac:dyDescent="0.3">
      <c r="A69" s="6">
        <f t="shared" si="3"/>
        <v>44863</v>
      </c>
      <c r="B69" s="5">
        <f t="shared" si="4"/>
        <v>0</v>
      </c>
      <c r="C69" s="54"/>
      <c r="D69" s="5">
        <f t="shared" si="2"/>
        <v>0</v>
      </c>
    </row>
    <row r="70" spans="1:8" x14ac:dyDescent="0.3">
      <c r="A70" s="6">
        <f t="shared" si="3"/>
        <v>44864</v>
      </c>
      <c r="B70" s="5">
        <f t="shared" si="4"/>
        <v>0</v>
      </c>
      <c r="C70" s="54"/>
      <c r="D70" s="5">
        <f t="shared" si="2"/>
        <v>0</v>
      </c>
    </row>
    <row r="71" spans="1:8" x14ac:dyDescent="0.3">
      <c r="A71" s="6">
        <f t="shared" si="3"/>
        <v>44865</v>
      </c>
      <c r="B71" s="5">
        <f t="shared" si="4"/>
        <v>0</v>
      </c>
      <c r="C71" s="54"/>
      <c r="D71" s="5">
        <f t="shared" si="2"/>
        <v>0</v>
      </c>
    </row>
    <row r="72" spans="1:8" x14ac:dyDescent="0.3">
      <c r="A72" s="9" t="s">
        <v>14</v>
      </c>
      <c r="B72" s="10">
        <f>SUM(B41:B71)</f>
        <v>0</v>
      </c>
      <c r="C72" s="195"/>
      <c r="D72" s="10">
        <f>SUM(D41:D71)</f>
        <v>0</v>
      </c>
    </row>
    <row r="73" spans="1:8" x14ac:dyDescent="0.3">
      <c r="A73" s="954"/>
      <c r="B73" s="954"/>
      <c r="C73" s="954"/>
      <c r="D73" s="954"/>
    </row>
    <row r="74" spans="1:8" x14ac:dyDescent="0.3">
      <c r="A74" s="943" t="s">
        <v>73</v>
      </c>
      <c r="B74" s="943"/>
      <c r="C74" s="943"/>
      <c r="D74" s="943"/>
    </row>
    <row r="75" spans="1:8" s="75" customFormat="1" ht="55.95" customHeight="1" x14ac:dyDescent="0.25">
      <c r="A75" s="95" t="s">
        <v>18</v>
      </c>
      <c r="B75" s="46"/>
      <c r="C75" s="198"/>
      <c r="D75" s="46" t="s">
        <v>0</v>
      </c>
    </row>
    <row r="76" spans="1:8" x14ac:dyDescent="0.3">
      <c r="A76" s="11" t="s">
        <v>15</v>
      </c>
      <c r="B76" s="5">
        <v>0</v>
      </c>
      <c r="C76" s="54"/>
      <c r="D76" s="5">
        <v>0</v>
      </c>
      <c r="E76" s="31"/>
    </row>
    <row r="77" spans="1:8" x14ac:dyDescent="0.3">
      <c r="A77" s="11" t="s">
        <v>16</v>
      </c>
      <c r="B77" s="5">
        <f>B72</f>
        <v>0</v>
      </c>
      <c r="C77" s="5"/>
      <c r="D77" s="5">
        <f>SUM(B77:C77)</f>
        <v>0</v>
      </c>
    </row>
    <row r="78" spans="1:8" x14ac:dyDescent="0.3">
      <c r="A78" s="11" t="s">
        <v>26</v>
      </c>
      <c r="B78" s="5"/>
      <c r="C78" s="54"/>
      <c r="D78" s="5">
        <f>SUM(B78:C78)</f>
        <v>0</v>
      </c>
    </row>
    <row r="79" spans="1:8" x14ac:dyDescent="0.3">
      <c r="A79" s="11" t="s">
        <v>14</v>
      </c>
      <c r="B79" s="5">
        <f>SUM(B76:B78)</f>
        <v>0</v>
      </c>
      <c r="C79" s="54"/>
      <c r="D79" s="5">
        <f>SUM(B79:C79)</f>
        <v>0</v>
      </c>
    </row>
    <row r="80" spans="1:8" x14ac:dyDescent="0.3">
      <c r="A80" s="939"/>
      <c r="B80" s="939"/>
      <c r="C80" s="939"/>
      <c r="D80" s="939"/>
      <c r="H80" s="2"/>
    </row>
    <row r="81" spans="1:6" x14ac:dyDescent="0.3">
      <c r="A81" s="12" t="s">
        <v>30</v>
      </c>
      <c r="B81" s="13"/>
      <c r="C81" s="44"/>
      <c r="D81" s="13">
        <f>SUM(B81:C81)</f>
        <v>0</v>
      </c>
      <c r="E81" s="115"/>
    </row>
    <row r="82" spans="1:6" x14ac:dyDescent="0.3">
      <c r="A82" s="940"/>
      <c r="B82" s="940"/>
      <c r="C82" s="940"/>
      <c r="D82" s="940"/>
    </row>
    <row r="83" spans="1:6" x14ac:dyDescent="0.3">
      <c r="A83" s="12" t="s">
        <v>4</v>
      </c>
      <c r="B83" s="13"/>
      <c r="C83" s="44"/>
      <c r="D83" s="13">
        <f>SUM(B83:C83)</f>
        <v>0</v>
      </c>
      <c r="F83" s="34"/>
    </row>
    <row r="84" spans="1:6" x14ac:dyDescent="0.3">
      <c r="A84" s="940"/>
      <c r="B84" s="940"/>
      <c r="C84" s="940"/>
      <c r="D84" s="940"/>
    </row>
    <row r="85" spans="1:6" x14ac:dyDescent="0.3">
      <c r="A85" s="28" t="s">
        <v>17</v>
      </c>
      <c r="B85" s="29">
        <f>B72+B83+B78</f>
        <v>0</v>
      </c>
      <c r="C85" s="195"/>
      <c r="D85" s="29">
        <f>SUM(B85:C85)</f>
        <v>0</v>
      </c>
    </row>
    <row r="86" spans="1:6" x14ac:dyDescent="0.3">
      <c r="A86" s="940"/>
      <c r="B86" s="940"/>
      <c r="C86" s="940"/>
      <c r="D86" s="940"/>
    </row>
    <row r="87" spans="1:6" x14ac:dyDescent="0.3">
      <c r="A87" s="99" t="s">
        <v>31</v>
      </c>
      <c r="B87" s="98">
        <f>B79+B83-B81</f>
        <v>0</v>
      </c>
      <c r="C87" s="195"/>
      <c r="D87" s="98">
        <f>D79+D83-D81</f>
        <v>0</v>
      </c>
    </row>
  </sheetData>
  <mergeCells count="9">
    <mergeCell ref="A82:D82"/>
    <mergeCell ref="A84:D84"/>
    <mergeCell ref="A86:D86"/>
    <mergeCell ref="A4:D4"/>
    <mergeCell ref="A37:D37"/>
    <mergeCell ref="A38:D38"/>
    <mergeCell ref="A73:D73"/>
    <mergeCell ref="A74:D74"/>
    <mergeCell ref="A80:D80"/>
  </mergeCells>
  <printOptions horizontalCentered="1" verticalCentered="1"/>
  <pageMargins left="0.25" right="0.25" top="0.5" bottom="0.5" header="0.5" footer="0.5"/>
  <pageSetup scale="40" orientation="landscape" r:id="rId1"/>
  <headerFooter alignWithMargins="0"/>
  <ignoredErrors>
    <ignoredError sqref="D6:D36" formulaRange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65C5-DBFD-4329-903A-468C0559A820}">
  <sheetPr>
    <tabColor theme="0"/>
    <pageSetUpPr fitToPage="1"/>
  </sheetPr>
  <dimension ref="A1:H91"/>
  <sheetViews>
    <sheetView showGridLines="0" view="pageBreakPreview" topLeftCell="A67" zoomScaleNormal="100" zoomScaleSheetLayoutView="100" workbookViewId="0">
      <selection activeCell="B76" sqref="B76:C76"/>
    </sheetView>
  </sheetViews>
  <sheetFormatPr defaultColWidth="8.90625" defaultRowHeight="13.8" x14ac:dyDescent="0.3"/>
  <cols>
    <col min="1" max="1" width="16.1796875" style="3" customWidth="1"/>
    <col min="2" max="3" width="13.81640625" style="31" customWidth="1"/>
    <col min="4" max="4" width="13.6328125" style="3" customWidth="1"/>
    <col min="5" max="5" width="13.08984375" style="3" bestFit="1" customWidth="1"/>
    <col min="6" max="6" width="6.54296875" style="3" customWidth="1"/>
    <col min="7" max="7" width="8.6328125" style="3" customWidth="1"/>
    <col min="8" max="16384" width="8.90625" style="3"/>
  </cols>
  <sheetData>
    <row r="1" spans="1:8" ht="18" x14ac:dyDescent="0.35">
      <c r="A1" s="7" t="s">
        <v>35</v>
      </c>
      <c r="B1" s="196"/>
      <c r="C1" s="196"/>
      <c r="D1" s="2"/>
    </row>
    <row r="2" spans="1:8" ht="18.600000000000001" thickBot="1" x14ac:dyDescent="0.4">
      <c r="A2" s="8" t="s">
        <v>152</v>
      </c>
      <c r="B2" s="72"/>
      <c r="C2" s="72"/>
      <c r="D2" s="27">
        <f>'FINANCIAL COST SUMMARY'!K2</f>
        <v>46204</v>
      </c>
    </row>
    <row r="3" spans="1:8" x14ac:dyDescent="0.3">
      <c r="A3" s="4"/>
      <c r="B3" s="197"/>
      <c r="C3" s="197"/>
      <c r="D3" s="49"/>
    </row>
    <row r="4" spans="1:8" x14ac:dyDescent="0.3">
      <c r="A4" s="319" t="s">
        <v>19</v>
      </c>
      <c r="B4" s="319"/>
      <c r="C4" s="319"/>
      <c r="D4" s="319"/>
    </row>
    <row r="5" spans="1:8" s="516" customFormat="1" ht="41.4" x14ac:dyDescent="0.25">
      <c r="A5" s="517" t="s">
        <v>2</v>
      </c>
      <c r="B5" s="328" t="s">
        <v>394</v>
      </c>
      <c r="C5" s="328" t="s">
        <v>395</v>
      </c>
      <c r="D5" s="324" t="s">
        <v>0</v>
      </c>
      <c r="E5" s="853"/>
      <c r="F5" s="853"/>
      <c r="G5" s="854"/>
      <c r="H5" s="853"/>
    </row>
    <row r="6" spans="1:8" x14ac:dyDescent="0.3">
      <c r="A6" s="6">
        <v>46204</v>
      </c>
      <c r="B6" s="304">
        <f t="shared" ref="B6:B24" si="0">43650*281</f>
        <v>12265650</v>
      </c>
      <c r="C6" s="304">
        <f t="shared" ref="C6:C29" si="1">187200*281.1</f>
        <v>52621920.000000007</v>
      </c>
      <c r="D6" s="5">
        <f t="shared" ref="D6:D36" si="2">SUM(B6:C6)</f>
        <v>64887570.000000007</v>
      </c>
      <c r="E6" s="77">
        <v>46167</v>
      </c>
      <c r="F6" s="75">
        <v>180</v>
      </c>
      <c r="G6" s="82">
        <f>+E6+F6</f>
        <v>46347</v>
      </c>
    </row>
    <row r="7" spans="1:8" x14ac:dyDescent="0.3">
      <c r="A7" s="6">
        <f>+A6+1</f>
        <v>46205</v>
      </c>
      <c r="B7" s="304">
        <f t="shared" si="0"/>
        <v>12265650</v>
      </c>
      <c r="C7" s="304">
        <f t="shared" si="1"/>
        <v>52621920.000000007</v>
      </c>
      <c r="D7" s="5">
        <f t="shared" si="2"/>
        <v>64887570.000000007</v>
      </c>
      <c r="E7" s="76"/>
      <c r="F7" s="76"/>
      <c r="G7" s="76"/>
    </row>
    <row r="8" spans="1:8" x14ac:dyDescent="0.3">
      <c r="A8" s="6">
        <f t="shared" ref="A8:A36" si="3">+A7+1</f>
        <v>46206</v>
      </c>
      <c r="B8" s="304">
        <f t="shared" si="0"/>
        <v>12265650</v>
      </c>
      <c r="C8" s="304">
        <f t="shared" si="1"/>
        <v>52621920.000000007</v>
      </c>
      <c r="D8" s="5">
        <f t="shared" si="2"/>
        <v>64887570.000000007</v>
      </c>
    </row>
    <row r="9" spans="1:8" x14ac:dyDescent="0.3">
      <c r="A9" s="6">
        <f t="shared" si="3"/>
        <v>46207</v>
      </c>
      <c r="B9" s="304">
        <f t="shared" si="0"/>
        <v>12265650</v>
      </c>
      <c r="C9" s="304">
        <f t="shared" si="1"/>
        <v>52621920.000000007</v>
      </c>
      <c r="D9" s="5">
        <f t="shared" si="2"/>
        <v>64887570.000000007</v>
      </c>
      <c r="G9" s="76"/>
    </row>
    <row r="10" spans="1:8" x14ac:dyDescent="0.3">
      <c r="A10" s="6">
        <f t="shared" si="3"/>
        <v>46208</v>
      </c>
      <c r="B10" s="304">
        <f t="shared" si="0"/>
        <v>12265650</v>
      </c>
      <c r="C10" s="304">
        <f t="shared" si="1"/>
        <v>52621920.000000007</v>
      </c>
      <c r="D10" s="5">
        <f t="shared" si="2"/>
        <v>64887570.000000007</v>
      </c>
    </row>
    <row r="11" spans="1:8" x14ac:dyDescent="0.3">
      <c r="A11" s="6">
        <f t="shared" si="3"/>
        <v>46209</v>
      </c>
      <c r="B11" s="304">
        <f t="shared" si="0"/>
        <v>12265650</v>
      </c>
      <c r="C11" s="304">
        <f t="shared" si="1"/>
        <v>52621920.000000007</v>
      </c>
      <c r="D11" s="5">
        <f t="shared" si="2"/>
        <v>64887570.000000007</v>
      </c>
    </row>
    <row r="12" spans="1:8" x14ac:dyDescent="0.3">
      <c r="A12" s="6">
        <f t="shared" si="3"/>
        <v>46210</v>
      </c>
      <c r="B12" s="304">
        <f t="shared" si="0"/>
        <v>12265650</v>
      </c>
      <c r="C12" s="304">
        <f t="shared" si="1"/>
        <v>52621920.000000007</v>
      </c>
      <c r="D12" s="5">
        <f t="shared" si="2"/>
        <v>64887570.000000007</v>
      </c>
      <c r="E12" s="76"/>
      <c r="F12" s="76"/>
    </row>
    <row r="13" spans="1:8" x14ac:dyDescent="0.3">
      <c r="A13" s="6">
        <f t="shared" si="3"/>
        <v>46211</v>
      </c>
      <c r="B13" s="304">
        <f t="shared" si="0"/>
        <v>12265650</v>
      </c>
      <c r="C13" s="304">
        <f t="shared" si="1"/>
        <v>52621920.000000007</v>
      </c>
      <c r="D13" s="5">
        <f t="shared" si="2"/>
        <v>64887570.000000007</v>
      </c>
    </row>
    <row r="14" spans="1:8" x14ac:dyDescent="0.3">
      <c r="A14" s="6">
        <f t="shared" si="3"/>
        <v>46212</v>
      </c>
      <c r="B14" s="304">
        <f t="shared" si="0"/>
        <v>12265650</v>
      </c>
      <c r="C14" s="304">
        <f t="shared" si="1"/>
        <v>52621920.000000007</v>
      </c>
      <c r="D14" s="5">
        <f t="shared" si="2"/>
        <v>64887570.000000007</v>
      </c>
    </row>
    <row r="15" spans="1:8" x14ac:dyDescent="0.3">
      <c r="A15" s="6">
        <f t="shared" si="3"/>
        <v>46213</v>
      </c>
      <c r="B15" s="304">
        <f t="shared" si="0"/>
        <v>12265650</v>
      </c>
      <c r="C15" s="304">
        <f t="shared" si="1"/>
        <v>52621920.000000007</v>
      </c>
      <c r="D15" s="5">
        <f t="shared" si="2"/>
        <v>64887570.000000007</v>
      </c>
    </row>
    <row r="16" spans="1:8" x14ac:dyDescent="0.3">
      <c r="A16" s="6">
        <f t="shared" si="3"/>
        <v>46214</v>
      </c>
      <c r="B16" s="304">
        <f t="shared" si="0"/>
        <v>12265650</v>
      </c>
      <c r="C16" s="304">
        <f t="shared" si="1"/>
        <v>52621920.000000007</v>
      </c>
      <c r="D16" s="5">
        <f t="shared" si="2"/>
        <v>64887570.000000007</v>
      </c>
    </row>
    <row r="17" spans="1:5" x14ac:dyDescent="0.3">
      <c r="A17" s="6">
        <f t="shared" si="3"/>
        <v>46215</v>
      </c>
      <c r="B17" s="304">
        <f t="shared" si="0"/>
        <v>12265650</v>
      </c>
      <c r="C17" s="304">
        <f t="shared" si="1"/>
        <v>52621920.000000007</v>
      </c>
      <c r="D17" s="5">
        <f t="shared" si="2"/>
        <v>64887570.000000007</v>
      </c>
    </row>
    <row r="18" spans="1:5" s="331" customFormat="1" x14ac:dyDescent="0.3">
      <c r="A18" s="315">
        <f t="shared" si="3"/>
        <v>46216</v>
      </c>
      <c r="B18" s="304">
        <f t="shared" si="0"/>
        <v>12265650</v>
      </c>
      <c r="C18" s="304">
        <f t="shared" si="1"/>
        <v>52621920.000000007</v>
      </c>
      <c r="D18" s="5">
        <f t="shared" si="2"/>
        <v>64887570.000000007</v>
      </c>
      <c r="E18" s="332"/>
    </row>
    <row r="19" spans="1:5" x14ac:dyDescent="0.3">
      <c r="A19" s="6">
        <f t="shared" si="3"/>
        <v>46217</v>
      </c>
      <c r="B19" s="304">
        <f t="shared" si="0"/>
        <v>12265650</v>
      </c>
      <c r="C19" s="304">
        <f t="shared" si="1"/>
        <v>52621920.000000007</v>
      </c>
      <c r="D19" s="5">
        <f t="shared" si="2"/>
        <v>64887570.000000007</v>
      </c>
      <c r="E19" s="2"/>
    </row>
    <row r="20" spans="1:5" x14ac:dyDescent="0.3">
      <c r="A20" s="6">
        <f t="shared" si="3"/>
        <v>46218</v>
      </c>
      <c r="B20" s="304">
        <f t="shared" si="0"/>
        <v>12265650</v>
      </c>
      <c r="C20" s="304">
        <f t="shared" si="1"/>
        <v>52621920.000000007</v>
      </c>
      <c r="D20" s="5">
        <f t="shared" si="2"/>
        <v>64887570.000000007</v>
      </c>
      <c r="E20" s="2"/>
    </row>
    <row r="21" spans="1:5" x14ac:dyDescent="0.3">
      <c r="A21" s="6">
        <f t="shared" si="3"/>
        <v>46219</v>
      </c>
      <c r="B21" s="304">
        <f t="shared" si="0"/>
        <v>12265650</v>
      </c>
      <c r="C21" s="304">
        <f t="shared" si="1"/>
        <v>52621920.000000007</v>
      </c>
      <c r="D21" s="5">
        <f t="shared" si="2"/>
        <v>64887570.000000007</v>
      </c>
      <c r="E21" s="2"/>
    </row>
    <row r="22" spans="1:5" x14ac:dyDescent="0.3">
      <c r="A22" s="6">
        <f t="shared" si="3"/>
        <v>46220</v>
      </c>
      <c r="B22" s="304">
        <f t="shared" si="0"/>
        <v>12265650</v>
      </c>
      <c r="C22" s="304">
        <f t="shared" si="1"/>
        <v>52621920.000000007</v>
      </c>
      <c r="D22" s="5">
        <f t="shared" si="2"/>
        <v>64887570.000000007</v>
      </c>
      <c r="E22" s="2"/>
    </row>
    <row r="23" spans="1:5" x14ac:dyDescent="0.3">
      <c r="A23" s="6">
        <f t="shared" si="3"/>
        <v>46221</v>
      </c>
      <c r="B23" s="304">
        <f t="shared" si="0"/>
        <v>12265650</v>
      </c>
      <c r="C23" s="304">
        <f t="shared" si="1"/>
        <v>52621920.000000007</v>
      </c>
      <c r="D23" s="5">
        <f t="shared" si="2"/>
        <v>64887570.000000007</v>
      </c>
      <c r="E23" s="2"/>
    </row>
    <row r="24" spans="1:5" x14ac:dyDescent="0.3">
      <c r="A24" s="6">
        <f t="shared" si="3"/>
        <v>46222</v>
      </c>
      <c r="B24" s="304">
        <f t="shared" si="0"/>
        <v>12265650</v>
      </c>
      <c r="C24" s="304">
        <f t="shared" si="1"/>
        <v>52621920.000000007</v>
      </c>
      <c r="D24" s="5">
        <f t="shared" si="2"/>
        <v>64887570.000000007</v>
      </c>
      <c r="E24" s="34"/>
    </row>
    <row r="25" spans="1:5" x14ac:dyDescent="0.3">
      <c r="A25" s="6">
        <f t="shared" si="3"/>
        <v>46223</v>
      </c>
      <c r="B25" s="304">
        <f>43650*281</f>
        <v>12265650</v>
      </c>
      <c r="C25" s="304">
        <f t="shared" si="1"/>
        <v>52621920.000000007</v>
      </c>
      <c r="D25" s="5">
        <f t="shared" si="2"/>
        <v>64887570.000000007</v>
      </c>
    </row>
    <row r="26" spans="1:5" x14ac:dyDescent="0.3">
      <c r="A26" s="6">
        <f t="shared" si="3"/>
        <v>46224</v>
      </c>
      <c r="B26" s="304">
        <f t="shared" ref="B26:B36" si="4">43650*281</f>
        <v>12265650</v>
      </c>
      <c r="C26" s="304">
        <f t="shared" si="1"/>
        <v>52621920.000000007</v>
      </c>
      <c r="D26" s="5">
        <f t="shared" si="2"/>
        <v>64887570.000000007</v>
      </c>
    </row>
    <row r="27" spans="1:5" x14ac:dyDescent="0.3">
      <c r="A27" s="6">
        <f t="shared" si="3"/>
        <v>46225</v>
      </c>
      <c r="B27" s="304">
        <f t="shared" si="4"/>
        <v>12265650</v>
      </c>
      <c r="C27" s="304">
        <f t="shared" si="1"/>
        <v>52621920.000000007</v>
      </c>
      <c r="D27" s="5">
        <f t="shared" si="2"/>
        <v>64887570.000000007</v>
      </c>
    </row>
    <row r="28" spans="1:5" x14ac:dyDescent="0.3">
      <c r="A28" s="6">
        <f t="shared" si="3"/>
        <v>46226</v>
      </c>
      <c r="B28" s="304">
        <f t="shared" si="4"/>
        <v>12265650</v>
      </c>
      <c r="C28" s="304">
        <f t="shared" si="1"/>
        <v>52621920.000000007</v>
      </c>
      <c r="D28" s="5">
        <f t="shared" si="2"/>
        <v>64887570.000000007</v>
      </c>
    </row>
    <row r="29" spans="1:5" x14ac:dyDescent="0.3">
      <c r="A29" s="6">
        <f t="shared" si="3"/>
        <v>46227</v>
      </c>
      <c r="B29" s="304">
        <f t="shared" si="4"/>
        <v>12265650</v>
      </c>
      <c r="C29" s="304">
        <f t="shared" si="1"/>
        <v>52621920.000000007</v>
      </c>
      <c r="D29" s="5">
        <f t="shared" si="2"/>
        <v>64887570.000000007</v>
      </c>
      <c r="E29" s="31"/>
    </row>
    <row r="30" spans="1:5" x14ac:dyDescent="0.3">
      <c r="A30" s="6">
        <f t="shared" si="3"/>
        <v>46228</v>
      </c>
      <c r="B30" s="304">
        <f t="shared" si="4"/>
        <v>12265650</v>
      </c>
      <c r="C30" s="304">
        <f t="shared" ref="C30:C36" si="5">187200*281.1</f>
        <v>52621920.000000007</v>
      </c>
      <c r="D30" s="5">
        <f t="shared" si="2"/>
        <v>64887570.000000007</v>
      </c>
      <c r="E30" s="31"/>
    </row>
    <row r="31" spans="1:5" x14ac:dyDescent="0.3">
      <c r="A31" s="6">
        <f t="shared" si="3"/>
        <v>46229</v>
      </c>
      <c r="B31" s="304">
        <f t="shared" si="4"/>
        <v>12265650</v>
      </c>
      <c r="C31" s="304">
        <f t="shared" si="5"/>
        <v>52621920.000000007</v>
      </c>
      <c r="D31" s="5">
        <f t="shared" si="2"/>
        <v>64887570.000000007</v>
      </c>
    </row>
    <row r="32" spans="1:5" x14ac:dyDescent="0.3">
      <c r="A32" s="6">
        <f t="shared" si="3"/>
        <v>46230</v>
      </c>
      <c r="B32" s="304">
        <f t="shared" si="4"/>
        <v>12265650</v>
      </c>
      <c r="C32" s="304">
        <f t="shared" si="5"/>
        <v>52621920.000000007</v>
      </c>
      <c r="D32" s="5">
        <f t="shared" si="2"/>
        <v>64887570.000000007</v>
      </c>
    </row>
    <row r="33" spans="1:6" x14ac:dyDescent="0.3">
      <c r="A33" s="6">
        <f t="shared" si="3"/>
        <v>46231</v>
      </c>
      <c r="B33" s="304">
        <f t="shared" si="4"/>
        <v>12265650</v>
      </c>
      <c r="C33" s="304">
        <f t="shared" si="5"/>
        <v>52621920.000000007</v>
      </c>
      <c r="D33" s="5">
        <f t="shared" si="2"/>
        <v>64887570.000000007</v>
      </c>
    </row>
    <row r="34" spans="1:6" x14ac:dyDescent="0.3">
      <c r="A34" s="6">
        <f t="shared" si="3"/>
        <v>46232</v>
      </c>
      <c r="B34" s="304">
        <f t="shared" si="4"/>
        <v>12265650</v>
      </c>
      <c r="C34" s="304">
        <f t="shared" si="5"/>
        <v>52621920.000000007</v>
      </c>
      <c r="D34" s="5">
        <f t="shared" si="2"/>
        <v>64887570.000000007</v>
      </c>
    </row>
    <row r="35" spans="1:6" x14ac:dyDescent="0.3">
      <c r="A35" s="6">
        <f t="shared" si="3"/>
        <v>46233</v>
      </c>
      <c r="B35" s="304">
        <f t="shared" si="4"/>
        <v>12265650</v>
      </c>
      <c r="C35" s="304">
        <f t="shared" si="5"/>
        <v>52621920.000000007</v>
      </c>
      <c r="D35" s="5">
        <f t="shared" si="2"/>
        <v>64887570.000000007</v>
      </c>
    </row>
    <row r="36" spans="1:6" x14ac:dyDescent="0.3">
      <c r="A36" s="6">
        <f t="shared" si="3"/>
        <v>46234</v>
      </c>
      <c r="B36" s="304">
        <f t="shared" si="4"/>
        <v>12265650</v>
      </c>
      <c r="C36" s="304">
        <f t="shared" si="5"/>
        <v>52621920.000000007</v>
      </c>
      <c r="D36" s="5">
        <f t="shared" si="2"/>
        <v>64887570.000000007</v>
      </c>
    </row>
    <row r="37" spans="1:6" x14ac:dyDescent="0.3">
      <c r="A37" s="317"/>
      <c r="B37" s="317"/>
      <c r="C37" s="317"/>
      <c r="D37" s="317"/>
      <c r="E37" s="325"/>
      <c r="F37" s="325"/>
    </row>
    <row r="38" spans="1:6" x14ac:dyDescent="0.3">
      <c r="A38" s="319" t="s">
        <v>56</v>
      </c>
      <c r="B38" s="319"/>
      <c r="C38" s="319"/>
      <c r="D38" s="319"/>
      <c r="F38" s="325"/>
    </row>
    <row r="39" spans="1:6" s="75" customFormat="1" ht="56.4" customHeight="1" x14ac:dyDescent="0.25">
      <c r="A39" s="51" t="s">
        <v>2</v>
      </c>
      <c r="B39" s="46" t="str">
        <f>B5</f>
        <v>LD2614000088
C.D 20.05.2026, M.D 16.11.2026</v>
      </c>
      <c r="C39" s="46" t="str">
        <f>C5</f>
        <v>LD2614500075
C.D 25.05.2026, M.D 21.11.2026</v>
      </c>
      <c r="D39" s="46" t="s">
        <v>0</v>
      </c>
    </row>
    <row r="40" spans="1:6" s="91" customFormat="1" ht="27.6" x14ac:dyDescent="0.25">
      <c r="A40" s="374" t="s">
        <v>177</v>
      </c>
      <c r="B40" s="358">
        <f>11.86%+0.75%</f>
        <v>0.12609999999999999</v>
      </c>
      <c r="C40" s="358">
        <f>12.09%+0.75%</f>
        <v>0.12839999999999999</v>
      </c>
      <c r="D40" s="90"/>
    </row>
    <row r="41" spans="1:6" x14ac:dyDescent="0.3">
      <c r="A41" s="6">
        <f t="shared" ref="A41:A70" si="6">A6</f>
        <v>46204</v>
      </c>
      <c r="B41" s="5">
        <f t="shared" ref="B41:C71" si="7">IF(B6&lt;0,0,B6*B$40/365)</f>
        <v>4237.5300410958898</v>
      </c>
      <c r="C41" s="5">
        <f t="shared" si="7"/>
        <v>18511.382268493151</v>
      </c>
      <c r="D41" s="5">
        <f t="shared" ref="D41:D72" si="8">SUM(B41:C41)</f>
        <v>22748.912309589039</v>
      </c>
    </row>
    <row r="42" spans="1:6" x14ac:dyDescent="0.3">
      <c r="A42" s="6">
        <f t="shared" si="6"/>
        <v>46205</v>
      </c>
      <c r="B42" s="5">
        <f t="shared" si="7"/>
        <v>4237.5300410958898</v>
      </c>
      <c r="C42" s="5">
        <f t="shared" si="7"/>
        <v>18511.382268493151</v>
      </c>
      <c r="D42" s="5">
        <f t="shared" si="8"/>
        <v>22748.912309589039</v>
      </c>
    </row>
    <row r="43" spans="1:6" x14ac:dyDescent="0.3">
      <c r="A43" s="6">
        <f t="shared" si="6"/>
        <v>46206</v>
      </c>
      <c r="B43" s="5">
        <f t="shared" si="7"/>
        <v>4237.5300410958898</v>
      </c>
      <c r="C43" s="5">
        <f t="shared" si="7"/>
        <v>18511.382268493151</v>
      </c>
      <c r="D43" s="5">
        <f t="shared" si="8"/>
        <v>22748.912309589039</v>
      </c>
    </row>
    <row r="44" spans="1:6" x14ac:dyDescent="0.3">
      <c r="A44" s="6">
        <f t="shared" si="6"/>
        <v>46207</v>
      </c>
      <c r="B44" s="5">
        <f t="shared" si="7"/>
        <v>4237.5300410958898</v>
      </c>
      <c r="C44" s="5">
        <f t="shared" si="7"/>
        <v>18511.382268493151</v>
      </c>
      <c r="D44" s="5">
        <f t="shared" si="8"/>
        <v>22748.912309589039</v>
      </c>
    </row>
    <row r="45" spans="1:6" x14ac:dyDescent="0.3">
      <c r="A45" s="6">
        <f t="shared" si="6"/>
        <v>46208</v>
      </c>
      <c r="B45" s="5">
        <f t="shared" si="7"/>
        <v>4237.5300410958898</v>
      </c>
      <c r="C45" s="5">
        <f t="shared" si="7"/>
        <v>18511.382268493151</v>
      </c>
      <c r="D45" s="5">
        <f t="shared" si="8"/>
        <v>22748.912309589039</v>
      </c>
    </row>
    <row r="46" spans="1:6" x14ac:dyDescent="0.3">
      <c r="A46" s="6">
        <f t="shared" si="6"/>
        <v>46209</v>
      </c>
      <c r="B46" s="5">
        <f t="shared" si="7"/>
        <v>4237.5300410958898</v>
      </c>
      <c r="C46" s="5">
        <f t="shared" si="7"/>
        <v>18511.382268493151</v>
      </c>
      <c r="D46" s="5">
        <f t="shared" si="8"/>
        <v>22748.912309589039</v>
      </c>
    </row>
    <row r="47" spans="1:6" x14ac:dyDescent="0.3">
      <c r="A47" s="6">
        <f t="shared" si="6"/>
        <v>46210</v>
      </c>
      <c r="B47" s="5">
        <f t="shared" si="7"/>
        <v>4237.5300410958898</v>
      </c>
      <c r="C47" s="5">
        <f t="shared" si="7"/>
        <v>18511.382268493151</v>
      </c>
      <c r="D47" s="5">
        <f t="shared" si="8"/>
        <v>22748.912309589039</v>
      </c>
    </row>
    <row r="48" spans="1:6" x14ac:dyDescent="0.3">
      <c r="A48" s="6">
        <f t="shared" si="6"/>
        <v>46211</v>
      </c>
      <c r="B48" s="5">
        <f t="shared" si="7"/>
        <v>4237.5300410958898</v>
      </c>
      <c r="C48" s="5">
        <f t="shared" si="7"/>
        <v>18511.382268493151</v>
      </c>
      <c r="D48" s="5">
        <f t="shared" si="8"/>
        <v>22748.912309589039</v>
      </c>
    </row>
    <row r="49" spans="1:4" x14ac:dyDescent="0.3">
      <c r="A49" s="6">
        <f t="shared" si="6"/>
        <v>46212</v>
      </c>
      <c r="B49" s="5">
        <f t="shared" si="7"/>
        <v>4237.5300410958898</v>
      </c>
      <c r="C49" s="5">
        <f t="shared" si="7"/>
        <v>18511.382268493151</v>
      </c>
      <c r="D49" s="5">
        <f t="shared" si="8"/>
        <v>22748.912309589039</v>
      </c>
    </row>
    <row r="50" spans="1:4" x14ac:dyDescent="0.3">
      <c r="A50" s="6">
        <f t="shared" si="6"/>
        <v>46213</v>
      </c>
      <c r="B50" s="5">
        <f t="shared" si="7"/>
        <v>4237.5300410958898</v>
      </c>
      <c r="C50" s="5">
        <f t="shared" si="7"/>
        <v>18511.382268493151</v>
      </c>
      <c r="D50" s="5">
        <f t="shared" si="8"/>
        <v>22748.912309589039</v>
      </c>
    </row>
    <row r="51" spans="1:4" x14ac:dyDescent="0.3">
      <c r="A51" s="6">
        <f t="shared" si="6"/>
        <v>46214</v>
      </c>
      <c r="B51" s="5">
        <f t="shared" si="7"/>
        <v>4237.5300410958898</v>
      </c>
      <c r="C51" s="5">
        <f t="shared" si="7"/>
        <v>18511.382268493151</v>
      </c>
      <c r="D51" s="5">
        <f t="shared" si="8"/>
        <v>22748.912309589039</v>
      </c>
    </row>
    <row r="52" spans="1:4" x14ac:dyDescent="0.3">
      <c r="A52" s="6">
        <f t="shared" si="6"/>
        <v>46215</v>
      </c>
      <c r="B52" s="5">
        <f t="shared" si="7"/>
        <v>4237.5300410958898</v>
      </c>
      <c r="C52" s="5">
        <f t="shared" si="7"/>
        <v>18511.382268493151</v>
      </c>
      <c r="D52" s="5">
        <f t="shared" si="8"/>
        <v>22748.912309589039</v>
      </c>
    </row>
    <row r="53" spans="1:4" x14ac:dyDescent="0.3">
      <c r="A53" s="6">
        <f t="shared" si="6"/>
        <v>46216</v>
      </c>
      <c r="B53" s="5">
        <f t="shared" si="7"/>
        <v>4237.5300410958898</v>
      </c>
      <c r="C53" s="5">
        <f t="shared" si="7"/>
        <v>18511.382268493151</v>
      </c>
      <c r="D53" s="5">
        <f t="shared" si="8"/>
        <v>22748.912309589039</v>
      </c>
    </row>
    <row r="54" spans="1:4" x14ac:dyDescent="0.3">
      <c r="A54" s="6">
        <f t="shared" si="6"/>
        <v>46217</v>
      </c>
      <c r="B54" s="5">
        <f t="shared" si="7"/>
        <v>4237.5300410958898</v>
      </c>
      <c r="C54" s="5">
        <f t="shared" si="7"/>
        <v>18511.382268493151</v>
      </c>
      <c r="D54" s="5">
        <f t="shared" si="8"/>
        <v>22748.912309589039</v>
      </c>
    </row>
    <row r="55" spans="1:4" x14ac:dyDescent="0.3">
      <c r="A55" s="6">
        <f t="shared" si="6"/>
        <v>46218</v>
      </c>
      <c r="B55" s="5">
        <f t="shared" si="7"/>
        <v>4237.5300410958898</v>
      </c>
      <c r="C55" s="5">
        <f t="shared" si="7"/>
        <v>18511.382268493151</v>
      </c>
      <c r="D55" s="5">
        <f t="shared" si="8"/>
        <v>22748.912309589039</v>
      </c>
    </row>
    <row r="56" spans="1:4" x14ac:dyDescent="0.3">
      <c r="A56" s="6">
        <f t="shared" si="6"/>
        <v>46219</v>
      </c>
      <c r="B56" s="5">
        <f t="shared" si="7"/>
        <v>4237.5300410958898</v>
      </c>
      <c r="C56" s="5">
        <f t="shared" si="7"/>
        <v>18511.382268493151</v>
      </c>
      <c r="D56" s="5">
        <f t="shared" si="8"/>
        <v>22748.912309589039</v>
      </c>
    </row>
    <row r="57" spans="1:4" x14ac:dyDescent="0.3">
      <c r="A57" s="6">
        <f t="shared" si="6"/>
        <v>46220</v>
      </c>
      <c r="B57" s="5">
        <f t="shared" si="7"/>
        <v>4237.5300410958898</v>
      </c>
      <c r="C57" s="5">
        <f t="shared" si="7"/>
        <v>18511.382268493151</v>
      </c>
      <c r="D57" s="5">
        <f t="shared" si="8"/>
        <v>22748.912309589039</v>
      </c>
    </row>
    <row r="58" spans="1:4" x14ac:dyDescent="0.3">
      <c r="A58" s="6">
        <f t="shared" si="6"/>
        <v>46221</v>
      </c>
      <c r="B58" s="5">
        <f t="shared" si="7"/>
        <v>4237.5300410958898</v>
      </c>
      <c r="C58" s="5">
        <f t="shared" si="7"/>
        <v>18511.382268493151</v>
      </c>
      <c r="D58" s="5">
        <f t="shared" si="8"/>
        <v>22748.912309589039</v>
      </c>
    </row>
    <row r="59" spans="1:4" x14ac:dyDescent="0.3">
      <c r="A59" s="6">
        <f t="shared" si="6"/>
        <v>46222</v>
      </c>
      <c r="B59" s="5">
        <f t="shared" si="7"/>
        <v>4237.5300410958898</v>
      </c>
      <c r="C59" s="5">
        <f t="shared" si="7"/>
        <v>18511.382268493151</v>
      </c>
      <c r="D59" s="5">
        <f t="shared" si="8"/>
        <v>22748.912309589039</v>
      </c>
    </row>
    <row r="60" spans="1:4" x14ac:dyDescent="0.3">
      <c r="A60" s="315">
        <f t="shared" si="6"/>
        <v>46223</v>
      </c>
      <c r="B60" s="5">
        <f t="shared" si="7"/>
        <v>4237.5300410958898</v>
      </c>
      <c r="C60" s="5">
        <f t="shared" si="7"/>
        <v>18511.382268493151</v>
      </c>
      <c r="D60" s="5">
        <f t="shared" si="8"/>
        <v>22748.912309589039</v>
      </c>
    </row>
    <row r="61" spans="1:4" x14ac:dyDescent="0.3">
      <c r="A61" s="315">
        <f t="shared" si="6"/>
        <v>46224</v>
      </c>
      <c r="B61" s="5">
        <f t="shared" si="7"/>
        <v>4237.5300410958898</v>
      </c>
      <c r="C61" s="5">
        <f t="shared" si="7"/>
        <v>18511.382268493151</v>
      </c>
      <c r="D61" s="5">
        <f t="shared" si="8"/>
        <v>22748.912309589039</v>
      </c>
    </row>
    <row r="62" spans="1:4" x14ac:dyDescent="0.3">
      <c r="A62" s="315">
        <f t="shared" si="6"/>
        <v>46225</v>
      </c>
      <c r="B62" s="5">
        <f t="shared" si="7"/>
        <v>4237.5300410958898</v>
      </c>
      <c r="C62" s="5">
        <f t="shared" si="7"/>
        <v>18511.382268493151</v>
      </c>
      <c r="D62" s="5">
        <f t="shared" si="8"/>
        <v>22748.912309589039</v>
      </c>
    </row>
    <row r="63" spans="1:4" x14ac:dyDescent="0.3">
      <c r="A63" s="315">
        <f t="shared" si="6"/>
        <v>46226</v>
      </c>
      <c r="B63" s="5">
        <f t="shared" si="7"/>
        <v>4237.5300410958898</v>
      </c>
      <c r="C63" s="5">
        <f t="shared" si="7"/>
        <v>18511.382268493151</v>
      </c>
      <c r="D63" s="5">
        <f t="shared" si="8"/>
        <v>22748.912309589039</v>
      </c>
    </row>
    <row r="64" spans="1:4" x14ac:dyDescent="0.3">
      <c r="A64" s="315">
        <f t="shared" si="6"/>
        <v>46227</v>
      </c>
      <c r="B64" s="5">
        <f t="shared" si="7"/>
        <v>4237.5300410958898</v>
      </c>
      <c r="C64" s="5">
        <f t="shared" si="7"/>
        <v>18511.382268493151</v>
      </c>
      <c r="D64" s="5">
        <f t="shared" si="8"/>
        <v>22748.912309589039</v>
      </c>
    </row>
    <row r="65" spans="1:7" x14ac:dyDescent="0.3">
      <c r="A65" s="315">
        <f t="shared" si="6"/>
        <v>46228</v>
      </c>
      <c r="B65" s="5">
        <f t="shared" si="7"/>
        <v>4237.5300410958898</v>
      </c>
      <c r="C65" s="5">
        <f t="shared" si="7"/>
        <v>18511.382268493151</v>
      </c>
      <c r="D65" s="5">
        <f t="shared" si="8"/>
        <v>22748.912309589039</v>
      </c>
    </row>
    <row r="66" spans="1:7" x14ac:dyDescent="0.3">
      <c r="A66" s="315">
        <f t="shared" si="6"/>
        <v>46229</v>
      </c>
      <c r="B66" s="5">
        <f t="shared" si="7"/>
        <v>4237.5300410958898</v>
      </c>
      <c r="C66" s="5">
        <f t="shared" si="7"/>
        <v>18511.382268493151</v>
      </c>
      <c r="D66" s="5">
        <f t="shared" si="8"/>
        <v>22748.912309589039</v>
      </c>
    </row>
    <row r="67" spans="1:7" x14ac:dyDescent="0.3">
      <c r="A67" s="315">
        <f t="shared" si="6"/>
        <v>46230</v>
      </c>
      <c r="B67" s="5">
        <f t="shared" si="7"/>
        <v>4237.5300410958898</v>
      </c>
      <c r="C67" s="5">
        <f t="shared" si="7"/>
        <v>18511.382268493151</v>
      </c>
      <c r="D67" s="5">
        <f t="shared" si="8"/>
        <v>22748.912309589039</v>
      </c>
    </row>
    <row r="68" spans="1:7" x14ac:dyDescent="0.3">
      <c r="A68" s="315">
        <f t="shared" si="6"/>
        <v>46231</v>
      </c>
      <c r="B68" s="5">
        <f t="shared" si="7"/>
        <v>4237.5300410958898</v>
      </c>
      <c r="C68" s="5">
        <f t="shared" si="7"/>
        <v>18511.382268493151</v>
      </c>
      <c r="D68" s="5">
        <f t="shared" si="8"/>
        <v>22748.912309589039</v>
      </c>
    </row>
    <row r="69" spans="1:7" x14ac:dyDescent="0.3">
      <c r="A69" s="315">
        <f t="shared" si="6"/>
        <v>46232</v>
      </c>
      <c r="B69" s="5">
        <f t="shared" si="7"/>
        <v>4237.5300410958898</v>
      </c>
      <c r="C69" s="5">
        <f t="shared" si="7"/>
        <v>18511.382268493151</v>
      </c>
      <c r="D69" s="5">
        <f t="shared" si="8"/>
        <v>22748.912309589039</v>
      </c>
    </row>
    <row r="70" spans="1:7" x14ac:dyDescent="0.3">
      <c r="A70" s="315">
        <f t="shared" si="6"/>
        <v>46233</v>
      </c>
      <c r="B70" s="5">
        <f t="shared" si="7"/>
        <v>4237.5300410958898</v>
      </c>
      <c r="C70" s="5">
        <f t="shared" si="7"/>
        <v>18511.382268493151</v>
      </c>
      <c r="D70" s="5">
        <f t="shared" si="8"/>
        <v>22748.912309589039</v>
      </c>
    </row>
    <row r="71" spans="1:7" x14ac:dyDescent="0.3">
      <c r="A71" s="315">
        <f t="shared" ref="A71" si="9">A36</f>
        <v>46234</v>
      </c>
      <c r="B71" s="5">
        <f t="shared" si="7"/>
        <v>4237.5300410958898</v>
      </c>
      <c r="C71" s="5">
        <f t="shared" si="7"/>
        <v>18511.382268493151</v>
      </c>
      <c r="D71" s="5">
        <f t="shared" si="8"/>
        <v>22748.912309589039</v>
      </c>
    </row>
    <row r="72" spans="1:7" x14ac:dyDescent="0.3">
      <c r="A72" s="391" t="s">
        <v>14</v>
      </c>
      <c r="B72" s="523">
        <f>SUM(B41:B71)</f>
        <v>131363.43127397256</v>
      </c>
      <c r="C72" s="523">
        <f>SUM(C41:C71)</f>
        <v>573852.85032328812</v>
      </c>
      <c r="D72" s="5">
        <f t="shared" si="8"/>
        <v>705216.28159726062</v>
      </c>
    </row>
    <row r="73" spans="1:7" x14ac:dyDescent="0.3">
      <c r="A73" s="320"/>
      <c r="B73" s="320"/>
      <c r="C73" s="320"/>
      <c r="D73" s="320"/>
    </row>
    <row r="74" spans="1:7" x14ac:dyDescent="0.3">
      <c r="A74" s="319" t="s">
        <v>73</v>
      </c>
      <c r="B74" s="319"/>
      <c r="C74" s="319"/>
      <c r="D74" s="319"/>
    </row>
    <row r="75" spans="1:7" s="75" customFormat="1" ht="55.95" customHeight="1" x14ac:dyDescent="0.25">
      <c r="A75" s="95" t="s">
        <v>18</v>
      </c>
      <c r="B75" s="46" t="str">
        <f>B5</f>
        <v>LD2614000088
C.D 20.05.2026, M.D 16.11.2026</v>
      </c>
      <c r="C75" s="46" t="str">
        <f>C5</f>
        <v>LD2614500075
C.D 25.05.2026, M.D 21.11.2026</v>
      </c>
      <c r="D75" s="46" t="s">
        <v>0</v>
      </c>
    </row>
    <row r="76" spans="1:7" x14ac:dyDescent="0.3">
      <c r="A76" s="11" t="s">
        <v>15</v>
      </c>
      <c r="B76" s="316">
        <v>177976.26172602733</v>
      </c>
      <c r="C76" s="316">
        <v>684921.14393424697</v>
      </c>
      <c r="D76" s="306">
        <f>SUM(B76:C76)</f>
        <v>862897.40566027432</v>
      </c>
      <c r="E76" s="139"/>
    </row>
    <row r="77" spans="1:7" x14ac:dyDescent="0.3">
      <c r="A77" s="11" t="s">
        <v>16</v>
      </c>
      <c r="B77" s="5">
        <f>B72</f>
        <v>131363.43127397256</v>
      </c>
      <c r="C77" s="5">
        <f>C72</f>
        <v>573852.85032328812</v>
      </c>
      <c r="D77" s="306">
        <f>SUM(B77:C77)</f>
        <v>705216.28159726062</v>
      </c>
    </row>
    <row r="78" spans="1:7" x14ac:dyDescent="0.3">
      <c r="A78" s="11" t="s">
        <v>26</v>
      </c>
      <c r="B78" s="54">
        <v>0</v>
      </c>
      <c r="C78" s="54">
        <v>0</v>
      </c>
      <c r="D78" s="306">
        <f>SUM(B78:C78)</f>
        <v>0</v>
      </c>
    </row>
    <row r="79" spans="1:7" x14ac:dyDescent="0.3">
      <c r="A79" s="11" t="s">
        <v>14</v>
      </c>
      <c r="B79" s="5">
        <f>SUM(B76:B78)</f>
        <v>309339.69299999985</v>
      </c>
      <c r="C79" s="5">
        <f>SUM(C76:C78)</f>
        <v>1258773.9942575351</v>
      </c>
      <c r="D79" s="306">
        <f>SUM(B79:C79)</f>
        <v>1568113.6872575348</v>
      </c>
      <c r="E79" s="325"/>
      <c r="F79" s="34"/>
    </row>
    <row r="80" spans="1:7" x14ac:dyDescent="0.3">
      <c r="A80" s="317"/>
      <c r="B80" s="317"/>
      <c r="C80" s="317"/>
      <c r="D80" s="317"/>
      <c r="G80" s="2"/>
    </row>
    <row r="81" spans="1:5" ht="17.399999999999999" x14ac:dyDescent="0.3">
      <c r="A81" s="12" t="s">
        <v>30</v>
      </c>
      <c r="B81" s="44">
        <v>0</v>
      </c>
      <c r="C81" s="44">
        <v>0</v>
      </c>
      <c r="D81" s="353">
        <f>SUM(B81:C81)</f>
        <v>0</v>
      </c>
      <c r="E81" s="707"/>
    </row>
    <row r="82" spans="1:5" x14ac:dyDescent="0.3">
      <c r="A82" s="318"/>
      <c r="B82" s="318"/>
      <c r="C82" s="318"/>
      <c r="D82" s="318"/>
    </row>
    <row r="83" spans="1:5" x14ac:dyDescent="0.3">
      <c r="A83" s="12" t="s">
        <v>4</v>
      </c>
      <c r="B83" s="44"/>
      <c r="C83" s="44"/>
      <c r="D83" s="13">
        <v>0</v>
      </c>
    </row>
    <row r="84" spans="1:5" x14ac:dyDescent="0.3">
      <c r="A84" s="318"/>
      <c r="B84" s="318"/>
      <c r="C84" s="318"/>
      <c r="D84" s="318"/>
    </row>
    <row r="85" spans="1:5" x14ac:dyDescent="0.3">
      <c r="A85" s="28" t="s">
        <v>17</v>
      </c>
      <c r="B85" s="29">
        <f>B72+B83+B78</f>
        <v>131363.43127397256</v>
      </c>
      <c r="C85" s="29">
        <f>C72+C83+C78</f>
        <v>573852.85032328812</v>
      </c>
      <c r="D85" s="29">
        <f>SUM(B85:C85)</f>
        <v>705216.28159726062</v>
      </c>
    </row>
    <row r="86" spans="1:5" x14ac:dyDescent="0.3">
      <c r="A86" s="318"/>
      <c r="B86" s="318"/>
      <c r="C86" s="318"/>
      <c r="D86" s="318"/>
    </row>
    <row r="87" spans="1:5" x14ac:dyDescent="0.3">
      <c r="A87" s="99" t="s">
        <v>31</v>
      </c>
      <c r="B87" s="98">
        <f>B79+B83-B81</f>
        <v>309339.69299999985</v>
      </c>
      <c r="C87" s="98">
        <f>C79+C83-C81</f>
        <v>1258773.9942575351</v>
      </c>
      <c r="D87" s="98">
        <f>D79+D83-D81</f>
        <v>1568113.6872575348</v>
      </c>
    </row>
    <row r="88" spans="1:5" x14ac:dyDescent="0.3">
      <c r="A88" s="322" t="s">
        <v>254</v>
      </c>
      <c r="B88" s="399">
        <v>30000895</v>
      </c>
      <c r="C88" s="399">
        <v>30000898</v>
      </c>
    </row>
    <row r="89" spans="1:5" x14ac:dyDescent="0.3">
      <c r="A89" s="3" t="s">
        <v>50</v>
      </c>
      <c r="B89" s="139"/>
      <c r="C89" s="139"/>
    </row>
    <row r="90" spans="1:5" x14ac:dyDescent="0.3">
      <c r="A90" s="318" t="s">
        <v>265</v>
      </c>
      <c r="B90" s="322">
        <v>9200000015</v>
      </c>
      <c r="C90" s="322"/>
    </row>
    <row r="91" spans="1:5" x14ac:dyDescent="0.3">
      <c r="A91" s="318" t="s">
        <v>266</v>
      </c>
      <c r="B91" s="322">
        <v>40000020</v>
      </c>
      <c r="C91" s="322"/>
    </row>
  </sheetData>
  <phoneticPr fontId="22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2"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4818-4373-4331-8004-86FF03E6092A}">
  <sheetPr>
    <tabColor theme="0"/>
    <pageSetUpPr fitToPage="1"/>
  </sheetPr>
  <dimension ref="A1:M87"/>
  <sheetViews>
    <sheetView showGridLines="0" view="pageBreakPreview" topLeftCell="A26" zoomScaleNormal="100" zoomScaleSheetLayoutView="100" workbookViewId="0">
      <selection activeCell="J41" sqref="J41"/>
    </sheetView>
  </sheetViews>
  <sheetFormatPr defaultColWidth="10.6328125" defaultRowHeight="13.8" x14ac:dyDescent="0.3"/>
  <cols>
    <col min="1" max="1" width="9.6328125" style="3" customWidth="1"/>
    <col min="2" max="2" width="12.81640625" style="2" customWidth="1"/>
    <col min="3" max="3" width="10.90625" style="2" bestFit="1" customWidth="1"/>
    <col min="4" max="4" width="11" style="2" customWidth="1"/>
    <col min="5" max="5" width="12" style="2" customWidth="1"/>
    <col min="6" max="6" width="0.90625" style="3" customWidth="1"/>
    <col min="7" max="7" width="7.08984375" style="3" customWidth="1"/>
    <col min="8" max="8" width="8.6328125" style="331" customWidth="1"/>
    <col min="9" max="9" width="9.453125" style="3" customWidth="1"/>
    <col min="10" max="10" width="11.08984375" style="3" customWidth="1"/>
    <col min="11" max="11" width="12.81640625" style="3" bestFit="1" customWidth="1"/>
    <col min="12" max="12" width="13.08984375" style="3" bestFit="1" customWidth="1"/>
    <col min="13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153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ht="15.6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44">
        <v>78722151.549999997</v>
      </c>
      <c r="L3" s="83"/>
      <c r="M3" s="34"/>
    </row>
    <row r="4" spans="1:13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62" t="s">
        <v>168</v>
      </c>
      <c r="H4" s="959" t="s">
        <v>180</v>
      </c>
      <c r="I4" s="969" t="s">
        <v>169</v>
      </c>
      <c r="J4" s="971" t="s">
        <v>170</v>
      </c>
    </row>
    <row r="5" spans="1:13" x14ac:dyDescent="0.3">
      <c r="A5" s="958"/>
      <c r="B5" s="961"/>
      <c r="C5" s="67" t="s">
        <v>7</v>
      </c>
      <c r="D5" s="67" t="s">
        <v>8</v>
      </c>
      <c r="E5" s="960"/>
      <c r="G5" s="963"/>
      <c r="H5" s="960"/>
      <c r="I5" s="970"/>
      <c r="J5" s="972"/>
    </row>
    <row r="6" spans="1:13" x14ac:dyDescent="0.3">
      <c r="A6" s="603">
        <v>46204</v>
      </c>
      <c r="B6" s="44">
        <v>0</v>
      </c>
      <c r="C6" s="604"/>
      <c r="D6" s="584"/>
      <c r="E6" s="381">
        <f>SUM(B6:D6)</f>
        <v>0</v>
      </c>
      <c r="F6" s="331"/>
      <c r="G6" s="382">
        <v>7.4999999999999997E-3</v>
      </c>
      <c r="H6" s="336">
        <v>0.1115</v>
      </c>
      <c r="I6" s="383">
        <f>+H6+G6</f>
        <v>0.11899999999999999</v>
      </c>
      <c r="J6" s="385">
        <f>IF(E6&lt;0,0,E6*I6/365)</f>
        <v>0</v>
      </c>
      <c r="K6" s="332">
        <f>E6-K3</f>
        <v>-78722151.549999997</v>
      </c>
      <c r="L6" s="261"/>
    </row>
    <row r="7" spans="1:13" x14ac:dyDescent="0.3">
      <c r="A7" s="592">
        <f>+A6+1</f>
        <v>46205</v>
      </c>
      <c r="B7" s="44">
        <v>0</v>
      </c>
      <c r="C7" s="593"/>
      <c r="D7" s="42"/>
      <c r="E7" s="54">
        <f t="shared" ref="E7:E32" si="0">SUM(B7:D7)</f>
        <v>0</v>
      </c>
      <c r="F7" s="31"/>
      <c r="G7" s="587">
        <v>7.4999999999999997E-3</v>
      </c>
      <c r="H7" s="336">
        <v>0.1115</v>
      </c>
      <c r="I7" s="383">
        <f t="shared" ref="I7:I32" si="1">+H7+G7</f>
        <v>0.11899999999999999</v>
      </c>
      <c r="J7" s="313">
        <f t="shared" ref="J7:J31" si="2">IF(E7&lt;0,0,E7*I7/365)</f>
        <v>0</v>
      </c>
      <c r="K7" s="115">
        <f>E7-E6</f>
        <v>0</v>
      </c>
    </row>
    <row r="8" spans="1:13" x14ac:dyDescent="0.3">
      <c r="A8" s="592">
        <f t="shared" ref="A8:A36" si="3">+A7+1</f>
        <v>46206</v>
      </c>
      <c r="B8" s="44">
        <v>0</v>
      </c>
      <c r="C8" s="593"/>
      <c r="D8" s="42"/>
      <c r="E8" s="54">
        <f t="shared" si="0"/>
        <v>0</v>
      </c>
      <c r="F8" s="31"/>
      <c r="G8" s="587">
        <v>7.4999999999999997E-3</v>
      </c>
      <c r="H8" s="336">
        <v>0.1115</v>
      </c>
      <c r="I8" s="383">
        <f t="shared" si="1"/>
        <v>0.11899999999999999</v>
      </c>
      <c r="J8" s="313">
        <f t="shared" si="2"/>
        <v>0</v>
      </c>
      <c r="K8" s="115">
        <f>+E8-E7</f>
        <v>0</v>
      </c>
    </row>
    <row r="9" spans="1:13" x14ac:dyDescent="0.3">
      <c r="A9" s="312">
        <f t="shared" si="3"/>
        <v>46207</v>
      </c>
      <c r="B9" s="44">
        <v>0</v>
      </c>
      <c r="C9" s="42"/>
      <c r="D9" s="42"/>
      <c r="E9" s="54">
        <f t="shared" si="0"/>
        <v>0</v>
      </c>
      <c r="F9" s="31"/>
      <c r="G9" s="587">
        <v>7.4999999999999997E-3</v>
      </c>
      <c r="H9" s="336">
        <v>0.1115</v>
      </c>
      <c r="I9" s="383">
        <f t="shared" si="1"/>
        <v>0.11899999999999999</v>
      </c>
      <c r="J9" s="313">
        <f t="shared" si="2"/>
        <v>0</v>
      </c>
      <c r="K9" s="115">
        <f>+E9-E8</f>
        <v>0</v>
      </c>
    </row>
    <row r="10" spans="1:13" x14ac:dyDescent="0.3">
      <c r="A10" s="312">
        <f t="shared" si="3"/>
        <v>46208</v>
      </c>
      <c r="B10" s="44">
        <v>0</v>
      </c>
      <c r="C10" s="43"/>
      <c r="D10" s="54"/>
      <c r="E10" s="54">
        <f t="shared" si="0"/>
        <v>0</v>
      </c>
      <c r="F10" s="31"/>
      <c r="G10" s="587">
        <v>7.4999999999999997E-3</v>
      </c>
      <c r="H10" s="336">
        <v>0.1115</v>
      </c>
      <c r="I10" s="383">
        <f t="shared" si="1"/>
        <v>0.11899999999999999</v>
      </c>
      <c r="J10" s="313">
        <f t="shared" si="2"/>
        <v>0</v>
      </c>
      <c r="K10" s="115">
        <f>+E10-E9</f>
        <v>0</v>
      </c>
    </row>
    <row r="11" spans="1:13" x14ac:dyDescent="0.3">
      <c r="A11" s="312">
        <f t="shared" si="3"/>
        <v>46209</v>
      </c>
      <c r="B11" s="44">
        <v>0</v>
      </c>
      <c r="C11" s="44"/>
      <c r="D11" s="591"/>
      <c r="E11" s="54">
        <f t="shared" si="0"/>
        <v>0</v>
      </c>
      <c r="F11" s="31"/>
      <c r="G11" s="587">
        <v>7.4999999999999997E-3</v>
      </c>
      <c r="H11" s="336">
        <v>0.1115</v>
      </c>
      <c r="I11" s="383">
        <f t="shared" si="1"/>
        <v>0.11899999999999999</v>
      </c>
      <c r="J11" s="313">
        <f t="shared" si="2"/>
        <v>0</v>
      </c>
      <c r="K11" s="115">
        <f t="shared" ref="K11:K32" si="4">+E11-E10</f>
        <v>0</v>
      </c>
    </row>
    <row r="12" spans="1:13" x14ac:dyDescent="0.3">
      <c r="A12" s="312">
        <f t="shared" si="3"/>
        <v>46210</v>
      </c>
      <c r="B12" s="44">
        <v>0</v>
      </c>
      <c r="C12" s="54"/>
      <c r="D12" s="54"/>
      <c r="E12" s="54">
        <f t="shared" si="0"/>
        <v>0</v>
      </c>
      <c r="F12" s="31"/>
      <c r="G12" s="587">
        <v>7.4999999999999997E-3</v>
      </c>
      <c r="H12" s="336">
        <v>0.1115</v>
      </c>
      <c r="I12" s="383">
        <f t="shared" si="1"/>
        <v>0.11899999999999999</v>
      </c>
      <c r="J12" s="313">
        <f t="shared" si="2"/>
        <v>0</v>
      </c>
      <c r="K12" s="115">
        <f t="shared" si="4"/>
        <v>0</v>
      </c>
    </row>
    <row r="13" spans="1:13" x14ac:dyDescent="0.3">
      <c r="A13" s="312">
        <f t="shared" si="3"/>
        <v>46211</v>
      </c>
      <c r="B13" s="44">
        <v>0</v>
      </c>
      <c r="C13" s="591"/>
      <c r="D13" s="54"/>
      <c r="E13" s="54">
        <f t="shared" si="0"/>
        <v>0</v>
      </c>
      <c r="F13" s="31"/>
      <c r="G13" s="587">
        <v>7.4999999999999997E-3</v>
      </c>
      <c r="H13" s="336">
        <v>0.1115</v>
      </c>
      <c r="I13" s="383">
        <f t="shared" si="1"/>
        <v>0.11899999999999999</v>
      </c>
      <c r="J13" s="313">
        <f t="shared" si="2"/>
        <v>0</v>
      </c>
      <c r="K13" s="115">
        <f t="shared" si="4"/>
        <v>0</v>
      </c>
    </row>
    <row r="14" spans="1:13" x14ac:dyDescent="0.3">
      <c r="A14" s="312">
        <f t="shared" si="3"/>
        <v>46212</v>
      </c>
      <c r="B14" s="44">
        <v>0</v>
      </c>
      <c r="C14" s="591"/>
      <c r="D14" s="54"/>
      <c r="E14" s="54">
        <f t="shared" si="0"/>
        <v>0</v>
      </c>
      <c r="F14" s="31"/>
      <c r="G14" s="587">
        <v>7.4999999999999997E-3</v>
      </c>
      <c r="H14" s="336">
        <v>0.1115</v>
      </c>
      <c r="I14" s="383">
        <f t="shared" si="1"/>
        <v>0.11899999999999999</v>
      </c>
      <c r="J14" s="313">
        <f t="shared" si="2"/>
        <v>0</v>
      </c>
      <c r="K14" s="115">
        <f t="shared" si="4"/>
        <v>0</v>
      </c>
    </row>
    <row r="15" spans="1:13" x14ac:dyDescent="0.3">
      <c r="A15" s="312">
        <f t="shared" si="3"/>
        <v>46213</v>
      </c>
      <c r="B15" s="44">
        <v>0</v>
      </c>
      <c r="C15" s="591"/>
      <c r="D15" s="54"/>
      <c r="E15" s="54">
        <f t="shared" si="0"/>
        <v>0</v>
      </c>
      <c r="F15" s="31"/>
      <c r="G15" s="587">
        <v>7.4999999999999997E-3</v>
      </c>
      <c r="H15" s="336">
        <v>0.1115</v>
      </c>
      <c r="I15" s="383">
        <f t="shared" si="1"/>
        <v>0.11899999999999999</v>
      </c>
      <c r="J15" s="313">
        <f t="shared" si="2"/>
        <v>0</v>
      </c>
      <c r="K15" s="115">
        <f t="shared" si="4"/>
        <v>0</v>
      </c>
    </row>
    <row r="16" spans="1:13" x14ac:dyDescent="0.3">
      <c r="A16" s="312">
        <f t="shared" si="3"/>
        <v>46214</v>
      </c>
      <c r="B16" s="44">
        <v>0</v>
      </c>
      <c r="C16" s="591"/>
      <c r="D16" s="54"/>
      <c r="E16" s="54">
        <f t="shared" si="0"/>
        <v>0</v>
      </c>
      <c r="F16" s="31"/>
      <c r="G16" s="587">
        <v>7.4999999999999997E-3</v>
      </c>
      <c r="H16" s="336">
        <v>0.1115</v>
      </c>
      <c r="I16" s="383">
        <f t="shared" si="1"/>
        <v>0.11899999999999999</v>
      </c>
      <c r="J16" s="313">
        <f t="shared" si="2"/>
        <v>0</v>
      </c>
      <c r="K16" s="115">
        <f t="shared" si="4"/>
        <v>0</v>
      </c>
    </row>
    <row r="17" spans="1:11" x14ac:dyDescent="0.3">
      <c r="A17" s="312">
        <f t="shared" si="3"/>
        <v>46215</v>
      </c>
      <c r="B17" s="44">
        <v>0</v>
      </c>
      <c r="C17" s="54"/>
      <c r="D17" s="54"/>
      <c r="E17" s="54">
        <f t="shared" si="0"/>
        <v>0</v>
      </c>
      <c r="F17" s="31"/>
      <c r="G17" s="587">
        <v>7.4999999999999997E-3</v>
      </c>
      <c r="H17" s="336">
        <v>0.1115</v>
      </c>
      <c r="I17" s="383">
        <f t="shared" si="1"/>
        <v>0.11899999999999999</v>
      </c>
      <c r="J17" s="313">
        <f t="shared" si="2"/>
        <v>0</v>
      </c>
      <c r="K17" s="115">
        <f>+E17-E16</f>
        <v>0</v>
      </c>
    </row>
    <row r="18" spans="1:11" x14ac:dyDescent="0.3">
      <c r="A18" s="312">
        <f t="shared" si="3"/>
        <v>46216</v>
      </c>
      <c r="B18" s="44">
        <v>0</v>
      </c>
      <c r="C18" s="54"/>
      <c r="D18" s="54"/>
      <c r="E18" s="54">
        <f t="shared" si="0"/>
        <v>0</v>
      </c>
      <c r="F18" s="31"/>
      <c r="G18" s="587">
        <v>7.4999999999999997E-3</v>
      </c>
      <c r="H18" s="336">
        <v>0.1115</v>
      </c>
      <c r="I18" s="383">
        <f t="shared" si="1"/>
        <v>0.11899999999999999</v>
      </c>
      <c r="J18" s="313">
        <f t="shared" si="2"/>
        <v>0</v>
      </c>
      <c r="K18" s="115">
        <f t="shared" si="4"/>
        <v>0</v>
      </c>
    </row>
    <row r="19" spans="1:11" x14ac:dyDescent="0.3">
      <c r="A19" s="312">
        <f t="shared" si="3"/>
        <v>46217</v>
      </c>
      <c r="B19" s="44">
        <v>0</v>
      </c>
      <c r="C19" s="54"/>
      <c r="D19" s="54"/>
      <c r="E19" s="54">
        <f t="shared" si="0"/>
        <v>0</v>
      </c>
      <c r="F19" s="31"/>
      <c r="G19" s="587">
        <v>7.4999999999999997E-3</v>
      </c>
      <c r="H19" s="336">
        <v>0.1115</v>
      </c>
      <c r="I19" s="383">
        <f t="shared" si="1"/>
        <v>0.11899999999999999</v>
      </c>
      <c r="J19" s="313">
        <f t="shared" si="2"/>
        <v>0</v>
      </c>
      <c r="K19" s="115">
        <f t="shared" si="4"/>
        <v>0</v>
      </c>
    </row>
    <row r="20" spans="1:11" x14ac:dyDescent="0.3">
      <c r="A20" s="312">
        <f t="shared" si="3"/>
        <v>46218</v>
      </c>
      <c r="B20" s="44">
        <v>0</v>
      </c>
      <c r="C20" s="54"/>
      <c r="D20" s="54"/>
      <c r="E20" s="54">
        <f t="shared" si="0"/>
        <v>0</v>
      </c>
      <c r="F20" s="31"/>
      <c r="G20" s="587">
        <v>7.4999999999999997E-3</v>
      </c>
      <c r="H20" s="336">
        <v>0.1115</v>
      </c>
      <c r="I20" s="383">
        <f t="shared" si="1"/>
        <v>0.11899999999999999</v>
      </c>
      <c r="J20" s="313">
        <f t="shared" si="2"/>
        <v>0</v>
      </c>
      <c r="K20" s="115">
        <f t="shared" si="4"/>
        <v>0</v>
      </c>
    </row>
    <row r="21" spans="1:11" x14ac:dyDescent="0.3">
      <c r="A21" s="312">
        <f t="shared" si="3"/>
        <v>46219</v>
      </c>
      <c r="B21" s="44">
        <v>0</v>
      </c>
      <c r="C21" s="54"/>
      <c r="D21" s="54"/>
      <c r="E21" s="54">
        <f t="shared" si="0"/>
        <v>0</v>
      </c>
      <c r="F21" s="31"/>
      <c r="G21" s="587">
        <v>7.4999999999999997E-3</v>
      </c>
      <c r="H21" s="336">
        <v>0.1115</v>
      </c>
      <c r="I21" s="383">
        <f t="shared" si="1"/>
        <v>0.11899999999999999</v>
      </c>
      <c r="J21" s="313">
        <f t="shared" si="2"/>
        <v>0</v>
      </c>
      <c r="K21" s="115">
        <f t="shared" si="4"/>
        <v>0</v>
      </c>
    </row>
    <row r="22" spans="1:11" x14ac:dyDescent="0.3">
      <c r="A22" s="312">
        <f t="shared" si="3"/>
        <v>46220</v>
      </c>
      <c r="B22" s="44">
        <v>0</v>
      </c>
      <c r="C22" s="54"/>
      <c r="D22" s="54"/>
      <c r="E22" s="54">
        <f t="shared" si="0"/>
        <v>0</v>
      </c>
      <c r="F22" s="31"/>
      <c r="G22" s="587">
        <v>7.4999999999999997E-3</v>
      </c>
      <c r="H22" s="336">
        <v>0.1115</v>
      </c>
      <c r="I22" s="383">
        <f t="shared" si="1"/>
        <v>0.11899999999999999</v>
      </c>
      <c r="J22" s="313">
        <f t="shared" si="2"/>
        <v>0</v>
      </c>
      <c r="K22" s="115">
        <f t="shared" si="4"/>
        <v>0</v>
      </c>
    </row>
    <row r="23" spans="1:11" x14ac:dyDescent="0.3">
      <c r="A23" s="312">
        <f t="shared" si="3"/>
        <v>46221</v>
      </c>
      <c r="B23" s="44">
        <v>0</v>
      </c>
      <c r="C23" s="591"/>
      <c r="D23" s="54"/>
      <c r="E23" s="54">
        <f t="shared" si="0"/>
        <v>0</v>
      </c>
      <c r="F23" s="31"/>
      <c r="G23" s="587">
        <v>7.4999999999999997E-3</v>
      </c>
      <c r="H23" s="336">
        <v>0.1115</v>
      </c>
      <c r="I23" s="383">
        <f t="shared" si="1"/>
        <v>0.11899999999999999</v>
      </c>
      <c r="J23" s="313">
        <f t="shared" si="2"/>
        <v>0</v>
      </c>
      <c r="K23" s="115">
        <f t="shared" si="4"/>
        <v>0</v>
      </c>
    </row>
    <row r="24" spans="1:11" x14ac:dyDescent="0.3">
      <c r="A24" s="312">
        <f t="shared" si="3"/>
        <v>46222</v>
      </c>
      <c r="B24" s="44">
        <v>0</v>
      </c>
      <c r="C24" s="54"/>
      <c r="D24" s="54"/>
      <c r="E24" s="54">
        <f t="shared" si="0"/>
        <v>0</v>
      </c>
      <c r="F24" s="31"/>
      <c r="G24" s="587">
        <v>7.4999999999999997E-3</v>
      </c>
      <c r="H24" s="336">
        <v>0.1115</v>
      </c>
      <c r="I24" s="383">
        <f t="shared" si="1"/>
        <v>0.11899999999999999</v>
      </c>
      <c r="J24" s="313">
        <f t="shared" si="2"/>
        <v>0</v>
      </c>
      <c r="K24" s="115">
        <f t="shared" si="4"/>
        <v>0</v>
      </c>
    </row>
    <row r="25" spans="1:11" x14ac:dyDescent="0.3">
      <c r="A25" s="312">
        <f t="shared" si="3"/>
        <v>46223</v>
      </c>
      <c r="B25" s="44">
        <v>0</v>
      </c>
      <c r="C25" s="54"/>
      <c r="D25" s="54"/>
      <c r="E25" s="54">
        <f t="shared" si="0"/>
        <v>0</v>
      </c>
      <c r="F25" s="31"/>
      <c r="G25" s="587">
        <v>7.4999999999999997E-3</v>
      </c>
      <c r="H25" s="336">
        <v>0.1115</v>
      </c>
      <c r="I25" s="383">
        <f t="shared" si="1"/>
        <v>0.11899999999999999</v>
      </c>
      <c r="J25" s="313">
        <f t="shared" si="2"/>
        <v>0</v>
      </c>
      <c r="K25" s="115">
        <f>+E25-E24</f>
        <v>0</v>
      </c>
    </row>
    <row r="26" spans="1:11" x14ac:dyDescent="0.3">
      <c r="A26" s="312">
        <f t="shared" si="3"/>
        <v>46224</v>
      </c>
      <c r="B26" s="44">
        <v>0</v>
      </c>
      <c r="C26" s="54"/>
      <c r="D26" s="54"/>
      <c r="E26" s="54">
        <f t="shared" si="0"/>
        <v>0</v>
      </c>
      <c r="F26" s="31"/>
      <c r="G26" s="587">
        <v>7.4999999999999997E-3</v>
      </c>
      <c r="H26" s="336">
        <v>0.1115</v>
      </c>
      <c r="I26" s="383">
        <f t="shared" si="1"/>
        <v>0.11899999999999999</v>
      </c>
      <c r="J26" s="313">
        <f t="shared" si="2"/>
        <v>0</v>
      </c>
      <c r="K26" s="115">
        <f>+E26-E25</f>
        <v>0</v>
      </c>
    </row>
    <row r="27" spans="1:11" x14ac:dyDescent="0.3">
      <c r="A27" s="312">
        <f t="shared" si="3"/>
        <v>46225</v>
      </c>
      <c r="B27" s="44">
        <v>0</v>
      </c>
      <c r="C27" s="54"/>
      <c r="D27" s="54"/>
      <c r="E27" s="54">
        <f t="shared" si="0"/>
        <v>0</v>
      </c>
      <c r="F27" s="31"/>
      <c r="G27" s="587">
        <v>7.4999999999999997E-3</v>
      </c>
      <c r="H27" s="336">
        <v>0.1115</v>
      </c>
      <c r="I27" s="383">
        <f t="shared" si="1"/>
        <v>0.11899999999999999</v>
      </c>
      <c r="J27" s="313">
        <f t="shared" si="2"/>
        <v>0</v>
      </c>
      <c r="K27" s="115">
        <f>+E27-E26</f>
        <v>0</v>
      </c>
    </row>
    <row r="28" spans="1:11" x14ac:dyDescent="0.3">
      <c r="A28" s="312">
        <f t="shared" si="3"/>
        <v>46226</v>
      </c>
      <c r="B28" s="44">
        <v>0</v>
      </c>
      <c r="C28" s="54"/>
      <c r="D28" s="54"/>
      <c r="E28" s="54">
        <f t="shared" si="0"/>
        <v>0</v>
      </c>
      <c r="F28" s="31"/>
      <c r="G28" s="587">
        <v>7.4999999999999997E-3</v>
      </c>
      <c r="H28" s="336">
        <v>0.1115</v>
      </c>
      <c r="I28" s="383">
        <f t="shared" si="1"/>
        <v>0.11899999999999999</v>
      </c>
      <c r="J28" s="313">
        <f t="shared" si="2"/>
        <v>0</v>
      </c>
      <c r="K28" s="115">
        <f>+E28-E27</f>
        <v>0</v>
      </c>
    </row>
    <row r="29" spans="1:11" x14ac:dyDescent="0.3">
      <c r="A29" s="312">
        <f t="shared" si="3"/>
        <v>46227</v>
      </c>
      <c r="B29" s="44">
        <v>0</v>
      </c>
      <c r="C29" s="54"/>
      <c r="D29" s="54"/>
      <c r="E29" s="54">
        <f t="shared" si="0"/>
        <v>0</v>
      </c>
      <c r="F29" s="31"/>
      <c r="G29" s="587">
        <v>7.4999999999999997E-3</v>
      </c>
      <c r="H29" s="336">
        <v>0.1115</v>
      </c>
      <c r="I29" s="383">
        <f t="shared" si="1"/>
        <v>0.11899999999999999</v>
      </c>
      <c r="J29" s="313">
        <f t="shared" si="2"/>
        <v>0</v>
      </c>
      <c r="K29" s="115">
        <f>+E29-E28</f>
        <v>0</v>
      </c>
    </row>
    <row r="30" spans="1:11" x14ac:dyDescent="0.3">
      <c r="A30" s="312">
        <f t="shared" si="3"/>
        <v>46228</v>
      </c>
      <c r="B30" s="44">
        <v>0</v>
      </c>
      <c r="C30" s="54"/>
      <c r="D30" s="54"/>
      <c r="E30" s="54">
        <f t="shared" si="0"/>
        <v>0</v>
      </c>
      <c r="F30" s="31"/>
      <c r="G30" s="587">
        <v>7.4999999999999997E-3</v>
      </c>
      <c r="H30" s="336">
        <v>0.1115</v>
      </c>
      <c r="I30" s="383">
        <f t="shared" si="1"/>
        <v>0.11899999999999999</v>
      </c>
      <c r="J30" s="313">
        <f t="shared" si="2"/>
        <v>0</v>
      </c>
      <c r="K30" s="115">
        <f t="shared" si="4"/>
        <v>0</v>
      </c>
    </row>
    <row r="31" spans="1:11" x14ac:dyDescent="0.3">
      <c r="A31" s="312">
        <f t="shared" si="3"/>
        <v>46229</v>
      </c>
      <c r="B31" s="44">
        <v>0</v>
      </c>
      <c r="C31" s="54"/>
      <c r="D31" s="54"/>
      <c r="E31" s="54">
        <f t="shared" si="0"/>
        <v>0</v>
      </c>
      <c r="F31" s="31"/>
      <c r="G31" s="587">
        <v>7.4999999999999997E-3</v>
      </c>
      <c r="H31" s="336">
        <v>0.1115</v>
      </c>
      <c r="I31" s="383">
        <f t="shared" si="1"/>
        <v>0.11899999999999999</v>
      </c>
      <c r="J31" s="313">
        <f t="shared" si="2"/>
        <v>0</v>
      </c>
      <c r="K31" s="115">
        <f t="shared" si="4"/>
        <v>0</v>
      </c>
    </row>
    <row r="32" spans="1:11" x14ac:dyDescent="0.3">
      <c r="A32" s="312">
        <f t="shared" si="3"/>
        <v>46230</v>
      </c>
      <c r="B32" s="44">
        <v>0</v>
      </c>
      <c r="C32" s="54"/>
      <c r="D32" s="54"/>
      <c r="E32" s="54">
        <f t="shared" si="0"/>
        <v>0</v>
      </c>
      <c r="F32" s="31"/>
      <c r="G32" s="587">
        <v>7.4999999999999997E-3</v>
      </c>
      <c r="H32" s="336">
        <v>0.1115</v>
      </c>
      <c r="I32" s="383">
        <f t="shared" si="1"/>
        <v>0.11899999999999999</v>
      </c>
      <c r="J32" s="313">
        <f>IF(E32&lt;0,0,E32*I32/365)</f>
        <v>0</v>
      </c>
      <c r="K32" s="115">
        <f t="shared" si="4"/>
        <v>0</v>
      </c>
    </row>
    <row r="33" spans="1:13" x14ac:dyDescent="0.3">
      <c r="A33" s="312">
        <f t="shared" si="3"/>
        <v>46231</v>
      </c>
      <c r="B33" s="44">
        <v>0</v>
      </c>
      <c r="C33" s="54"/>
      <c r="D33" s="54"/>
      <c r="E33" s="54">
        <f>SUM(B33:D33)</f>
        <v>0</v>
      </c>
      <c r="F33" s="31"/>
      <c r="G33" s="587">
        <v>7.4999999999999997E-3</v>
      </c>
      <c r="H33" s="336">
        <v>0.1115</v>
      </c>
      <c r="I33" s="383">
        <f>+H33+G33</f>
        <v>0.11899999999999999</v>
      </c>
      <c r="J33" s="313">
        <f>IF(E33&lt;0,0,E33*I33/365)</f>
        <v>0</v>
      </c>
      <c r="K33" s="115">
        <f>+E33-E32</f>
        <v>0</v>
      </c>
    </row>
    <row r="34" spans="1:13" x14ac:dyDescent="0.3">
      <c r="A34" s="312">
        <f t="shared" si="3"/>
        <v>46232</v>
      </c>
      <c r="B34" s="44">
        <v>0</v>
      </c>
      <c r="C34" s="54"/>
      <c r="D34" s="54"/>
      <c r="E34" s="54">
        <f>SUM(B34:D34)</f>
        <v>0</v>
      </c>
      <c r="F34" s="31"/>
      <c r="G34" s="587">
        <v>7.4999999999999997E-3</v>
      </c>
      <c r="H34" s="336">
        <v>0.1115</v>
      </c>
      <c r="I34" s="383">
        <f>+H34+G34</f>
        <v>0.11899999999999999</v>
      </c>
      <c r="J34" s="313">
        <f>IF(E34&lt;0,0,E34*I34/365)</f>
        <v>0</v>
      </c>
      <c r="K34" s="115">
        <f>+E34-E33</f>
        <v>0</v>
      </c>
    </row>
    <row r="35" spans="1:13" x14ac:dyDescent="0.3">
      <c r="A35" s="312">
        <f t="shared" si="3"/>
        <v>46233</v>
      </c>
      <c r="B35" s="44">
        <v>0</v>
      </c>
      <c r="C35" s="54"/>
      <c r="D35" s="54"/>
      <c r="E35" s="54">
        <f>SUM(B35:D35)</f>
        <v>0</v>
      </c>
      <c r="F35" s="31"/>
      <c r="G35" s="587">
        <v>7.4999999999999997E-3</v>
      </c>
      <c r="H35" s="336">
        <v>0.1115</v>
      </c>
      <c r="I35" s="383">
        <f>+H35+G35</f>
        <v>0.11899999999999999</v>
      </c>
      <c r="J35" s="313">
        <f>IF(E35&lt;0,0,E35*I35/365)</f>
        <v>0</v>
      </c>
      <c r="K35" s="115">
        <f>+E35-E34</f>
        <v>0</v>
      </c>
    </row>
    <row r="36" spans="1:13" x14ac:dyDescent="0.3">
      <c r="A36" s="312">
        <f t="shared" si="3"/>
        <v>46234</v>
      </c>
      <c r="B36" s="44">
        <v>0</v>
      </c>
      <c r="C36" s="54"/>
      <c r="D36" s="54"/>
      <c r="E36" s="54">
        <f>SUM(B36:D36)</f>
        <v>0</v>
      </c>
      <c r="F36" s="31"/>
      <c r="G36" s="587">
        <v>7.4999999999999997E-3</v>
      </c>
      <c r="H36" s="336">
        <v>0.1115</v>
      </c>
      <c r="I36" s="383">
        <f>+H36+G36</f>
        <v>0.11899999999999999</v>
      </c>
      <c r="J36" s="313">
        <f>IF(E36&lt;0,0,E36*I36/365)</f>
        <v>0</v>
      </c>
      <c r="K36" s="115">
        <f>+E36-E35</f>
        <v>0</v>
      </c>
    </row>
    <row r="37" spans="1:13" x14ac:dyDescent="0.3">
      <c r="B37" s="247">
        <v>72797643.549999997</v>
      </c>
      <c r="E37" s="2">
        <f>SUM(B37:D37)</f>
        <v>72797643.549999997</v>
      </c>
      <c r="G37" s="100"/>
      <c r="H37" s="100"/>
      <c r="I37" s="20"/>
      <c r="J37" s="19">
        <f>SUM(J6:J36)</f>
        <v>0</v>
      </c>
    </row>
    <row r="38" spans="1:13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3" x14ac:dyDescent="0.3">
      <c r="G39" s="965" t="s">
        <v>22</v>
      </c>
      <c r="H39" s="965"/>
      <c r="I39" s="965"/>
    </row>
    <row r="40" spans="1:13" ht="15.6" x14ac:dyDescent="0.3">
      <c r="A40" s="343" t="s">
        <v>256</v>
      </c>
      <c r="B40" s="347" t="s">
        <v>255</v>
      </c>
      <c r="G40" s="21"/>
      <c r="H40" s="237"/>
      <c r="I40" s="21"/>
      <c r="J40" s="214" t="s">
        <v>0</v>
      </c>
      <c r="L40" s="325"/>
      <c r="M40" s="325"/>
    </row>
    <row r="41" spans="1:13" x14ac:dyDescent="0.3">
      <c r="G41" s="968" t="s">
        <v>15</v>
      </c>
      <c r="H41" s="968"/>
      <c r="I41" s="968"/>
      <c r="J41" s="215">
        <v>166923.99612594518</v>
      </c>
      <c r="K41" s="139"/>
      <c r="L41" s="325"/>
      <c r="M41" s="2"/>
    </row>
    <row r="42" spans="1:13" ht="17.399999999999999" x14ac:dyDescent="0.3">
      <c r="G42" s="968" t="s">
        <v>28</v>
      </c>
      <c r="H42" s="968"/>
      <c r="I42" s="968"/>
      <c r="J42" s="216"/>
      <c r="K42" s="748"/>
      <c r="L42" s="708"/>
    </row>
    <row r="43" spans="1:13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  <c r="K43" s="31"/>
      <c r="L43" s="325"/>
    </row>
    <row r="44" spans="1:13" x14ac:dyDescent="0.3">
      <c r="G44" s="966"/>
      <c r="H44" s="966"/>
      <c r="I44" s="966"/>
      <c r="J44" s="966"/>
      <c r="K44" s="34"/>
      <c r="L44" s="325"/>
    </row>
    <row r="45" spans="1:13" ht="16.2" customHeight="1" thickBot="1" x14ac:dyDescent="0.35">
      <c r="G45" s="974" t="s">
        <v>199</v>
      </c>
      <c r="H45" s="974"/>
      <c r="I45" s="974"/>
      <c r="J45" s="217">
        <f>J37+J43</f>
        <v>0</v>
      </c>
      <c r="L45" s="325"/>
    </row>
    <row r="46" spans="1:13" x14ac:dyDescent="0.3">
      <c r="G46" s="967"/>
      <c r="H46" s="967"/>
      <c r="I46" s="967"/>
      <c r="J46" s="967"/>
      <c r="K46" s="2"/>
      <c r="L46" s="325"/>
    </row>
    <row r="47" spans="1:13" x14ac:dyDescent="0.3">
      <c r="G47" s="964" t="s">
        <v>31</v>
      </c>
      <c r="H47" s="964"/>
      <c r="I47" s="964"/>
      <c r="J47" s="106">
        <f>J41+J45-J42</f>
        <v>166923.99612594518</v>
      </c>
      <c r="K47" s="34"/>
      <c r="L47" s="325"/>
    </row>
    <row r="48" spans="1:13" x14ac:dyDescent="0.3">
      <c r="L48" s="325"/>
    </row>
    <row r="49" spans="10:12" x14ac:dyDescent="0.3">
      <c r="J49" s="34"/>
    </row>
    <row r="50" spans="10:12" x14ac:dyDescent="0.3">
      <c r="L50" s="325"/>
    </row>
    <row r="51" spans="10:12" x14ac:dyDescent="0.3">
      <c r="L51" s="325"/>
    </row>
    <row r="52" spans="10:12" x14ac:dyDescent="0.3">
      <c r="L52" s="574"/>
    </row>
    <row r="87" spans="8:8" x14ac:dyDescent="0.3">
      <c r="H87" s="331">
        <v>30000428</v>
      </c>
    </row>
  </sheetData>
  <autoFilter ref="K1:K87" xr:uid="{B9842BFC-4643-4E11-979F-9C5E24DA2204}"/>
  <mergeCells count="19">
    <mergeCell ref="A38:J38"/>
    <mergeCell ref="G47:I47"/>
    <mergeCell ref="G39:I39"/>
    <mergeCell ref="G44:J44"/>
    <mergeCell ref="G46:J46"/>
    <mergeCell ref="G41:I41"/>
    <mergeCell ref="G42:I42"/>
    <mergeCell ref="G43:I43"/>
    <mergeCell ref="G45:I45"/>
    <mergeCell ref="A1:J1"/>
    <mergeCell ref="A2:I2"/>
    <mergeCell ref="A3:J3"/>
    <mergeCell ref="A4:A5"/>
    <mergeCell ref="H4:H5"/>
    <mergeCell ref="B4:B5"/>
    <mergeCell ref="E4:E5"/>
    <mergeCell ref="G4:G5"/>
    <mergeCell ref="I4:I5"/>
    <mergeCell ref="J4:J5"/>
  </mergeCells>
  <printOptions horizontalCentered="1" verticalCentered="1"/>
  <pageMargins left="0.75" right="0.75" top="0.5" bottom="0.5" header="0.5" footer="0.5"/>
  <pageSetup scale="44" orientation="landscape" r:id="rId1"/>
  <headerFooter alignWithMargins="0"/>
  <ignoredErrors>
    <ignoredError sqref="E6:E32" formulaRange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0D8B-269F-4E73-B67D-9C1157BB43E7}">
  <sheetPr>
    <tabColor theme="0"/>
    <pageSetUpPr fitToPage="1"/>
  </sheetPr>
  <dimension ref="A1:K100"/>
  <sheetViews>
    <sheetView showGridLines="0" view="pageBreakPreview" topLeftCell="A67" zoomScaleNormal="100" zoomScaleSheetLayoutView="100" workbookViewId="0">
      <selection activeCell="B76" sqref="B76:F76"/>
    </sheetView>
  </sheetViews>
  <sheetFormatPr defaultColWidth="8.90625" defaultRowHeight="13.8" x14ac:dyDescent="0.3"/>
  <cols>
    <col min="1" max="1" width="16.1796875" style="3" customWidth="1"/>
    <col min="2" max="6" width="12.36328125" style="3" customWidth="1"/>
    <col min="7" max="7" width="13.6328125" style="3" customWidth="1"/>
    <col min="8" max="8" width="13.08984375" style="3" bestFit="1" customWidth="1"/>
    <col min="9" max="9" width="11.453125" style="3" bestFit="1" customWidth="1"/>
    <col min="10" max="16384" width="8.90625" style="3"/>
  </cols>
  <sheetData>
    <row r="1" spans="1:11" ht="18" x14ac:dyDescent="0.35">
      <c r="A1" s="7" t="s">
        <v>35</v>
      </c>
      <c r="B1" s="53"/>
      <c r="C1" s="53"/>
      <c r="D1" s="53"/>
      <c r="E1" s="53"/>
      <c r="F1" s="53"/>
      <c r="G1" s="2"/>
    </row>
    <row r="2" spans="1:11" ht="18.600000000000001" thickBot="1" x14ac:dyDescent="0.4">
      <c r="A2" s="8" t="s">
        <v>280</v>
      </c>
      <c r="B2" s="47"/>
      <c r="C2" s="47"/>
      <c r="D2" s="47"/>
      <c r="E2" s="47"/>
      <c r="F2" s="47"/>
      <c r="G2" s="27">
        <f>'FINANCIAL COST SUMMARY'!K2</f>
        <v>46204</v>
      </c>
    </row>
    <row r="3" spans="1:11" x14ac:dyDescent="0.3">
      <c r="A3" s="4"/>
      <c r="B3" s="49"/>
      <c r="C3" s="49"/>
      <c r="D3" s="49"/>
      <c r="E3" s="49"/>
      <c r="F3" s="49"/>
      <c r="G3" s="49"/>
    </row>
    <row r="4" spans="1:11" x14ac:dyDescent="0.3">
      <c r="A4" s="319" t="s">
        <v>19</v>
      </c>
      <c r="B4" s="319"/>
      <c r="C4" s="319"/>
      <c r="D4" s="319"/>
      <c r="E4" s="319"/>
      <c r="F4" s="319"/>
      <c r="G4" s="319"/>
    </row>
    <row r="5" spans="1:11" s="75" customFormat="1" ht="82.8" x14ac:dyDescent="0.25">
      <c r="A5" s="51" t="s">
        <v>2</v>
      </c>
      <c r="B5" s="710" t="s">
        <v>377</v>
      </c>
      <c r="C5" s="710" t="s">
        <v>378</v>
      </c>
      <c r="D5" s="710" t="s">
        <v>414</v>
      </c>
      <c r="E5" s="710" t="s">
        <v>416</v>
      </c>
      <c r="F5" s="710" t="s">
        <v>415</v>
      </c>
      <c r="G5" s="395" t="s">
        <v>0</v>
      </c>
    </row>
    <row r="6" spans="1:11" x14ac:dyDescent="0.3">
      <c r="A6" s="6">
        <v>46204</v>
      </c>
      <c r="B6" s="349">
        <f t="shared" ref="B6:B24" si="0">33219.6*330.5</f>
        <v>10979077.799999999</v>
      </c>
      <c r="C6" s="349">
        <f t="shared" ref="C6:C24" si="1">35380.8*280.7</f>
        <v>9931390.5600000005</v>
      </c>
      <c r="D6" s="349">
        <f t="shared" ref="D6:D16" si="2">28340*279.85</f>
        <v>7930949.0000000009</v>
      </c>
      <c r="E6" s="349">
        <f t="shared" ref="E6:E16" si="3">(12787.2+12312+12844.8+12844.8+12758.4+12744+12398.4)*279.85</f>
        <v>24819784.560000002</v>
      </c>
      <c r="F6" s="349">
        <f t="shared" ref="F6:F26" si="4">27000*279.25</f>
        <v>7539750</v>
      </c>
      <c r="G6" s="35">
        <f t="shared" ref="G6:G36" si="5">SUM(B6:F6)</f>
        <v>61200951.920000002</v>
      </c>
      <c r="I6" s="77">
        <v>46195</v>
      </c>
      <c r="J6" s="75">
        <v>180</v>
      </c>
      <c r="K6" s="82">
        <f>+I6+J6</f>
        <v>46375</v>
      </c>
    </row>
    <row r="7" spans="1:11" x14ac:dyDescent="0.3">
      <c r="A7" s="6">
        <f>+A6+1</f>
        <v>46205</v>
      </c>
      <c r="B7" s="349">
        <f t="shared" si="0"/>
        <v>10979077.799999999</v>
      </c>
      <c r="C7" s="349">
        <f t="shared" si="1"/>
        <v>9931390.5600000005</v>
      </c>
      <c r="D7" s="349">
        <f t="shared" si="2"/>
        <v>7930949.0000000009</v>
      </c>
      <c r="E7" s="349">
        <f t="shared" si="3"/>
        <v>24819784.560000002</v>
      </c>
      <c r="F7" s="349">
        <f t="shared" si="4"/>
        <v>7539750</v>
      </c>
      <c r="G7" s="35">
        <f t="shared" si="5"/>
        <v>61200951.920000002</v>
      </c>
    </row>
    <row r="8" spans="1:11" x14ac:dyDescent="0.3">
      <c r="A8" s="6">
        <f t="shared" ref="A8:A36" si="6">+A7+1</f>
        <v>46206</v>
      </c>
      <c r="B8" s="349">
        <f t="shared" si="0"/>
        <v>10979077.799999999</v>
      </c>
      <c r="C8" s="349">
        <f t="shared" si="1"/>
        <v>9931390.5600000005</v>
      </c>
      <c r="D8" s="349">
        <f t="shared" si="2"/>
        <v>7930949.0000000009</v>
      </c>
      <c r="E8" s="349">
        <f t="shared" si="3"/>
        <v>24819784.560000002</v>
      </c>
      <c r="F8" s="349">
        <f t="shared" si="4"/>
        <v>7539750</v>
      </c>
      <c r="G8" s="35">
        <f t="shared" si="5"/>
        <v>61200951.920000002</v>
      </c>
    </row>
    <row r="9" spans="1:11" x14ac:dyDescent="0.3">
      <c r="A9" s="6">
        <f t="shared" si="6"/>
        <v>46207</v>
      </c>
      <c r="B9" s="349">
        <f t="shared" si="0"/>
        <v>10979077.799999999</v>
      </c>
      <c r="C9" s="349">
        <f t="shared" si="1"/>
        <v>9931390.5600000005</v>
      </c>
      <c r="D9" s="349">
        <f t="shared" si="2"/>
        <v>7930949.0000000009</v>
      </c>
      <c r="E9" s="349">
        <f t="shared" si="3"/>
        <v>24819784.560000002</v>
      </c>
      <c r="F9" s="349">
        <f t="shared" si="4"/>
        <v>7539750</v>
      </c>
      <c r="G9" s="35">
        <f t="shared" si="5"/>
        <v>61200951.920000002</v>
      </c>
    </row>
    <row r="10" spans="1:11" x14ac:dyDescent="0.3">
      <c r="A10" s="6">
        <f t="shared" si="6"/>
        <v>46208</v>
      </c>
      <c r="B10" s="349">
        <f t="shared" si="0"/>
        <v>10979077.799999999</v>
      </c>
      <c r="C10" s="349">
        <f t="shared" si="1"/>
        <v>9931390.5600000005</v>
      </c>
      <c r="D10" s="349">
        <f t="shared" si="2"/>
        <v>7930949.0000000009</v>
      </c>
      <c r="E10" s="349">
        <f t="shared" si="3"/>
        <v>24819784.560000002</v>
      </c>
      <c r="F10" s="349">
        <f t="shared" si="4"/>
        <v>7539750</v>
      </c>
      <c r="G10" s="35">
        <f t="shared" si="5"/>
        <v>61200951.920000002</v>
      </c>
    </row>
    <row r="11" spans="1:11" x14ac:dyDescent="0.3">
      <c r="A11" s="6">
        <f t="shared" si="6"/>
        <v>46209</v>
      </c>
      <c r="B11" s="349">
        <f t="shared" si="0"/>
        <v>10979077.799999999</v>
      </c>
      <c r="C11" s="349">
        <f t="shared" si="1"/>
        <v>9931390.5600000005</v>
      </c>
      <c r="D11" s="349">
        <f t="shared" si="2"/>
        <v>7930949.0000000009</v>
      </c>
      <c r="E11" s="349">
        <f t="shared" si="3"/>
        <v>24819784.560000002</v>
      </c>
      <c r="F11" s="349">
        <f t="shared" si="4"/>
        <v>7539750</v>
      </c>
      <c r="G11" s="35">
        <f t="shared" si="5"/>
        <v>61200951.920000002</v>
      </c>
    </row>
    <row r="12" spans="1:11" x14ac:dyDescent="0.3">
      <c r="A12" s="6">
        <f t="shared" si="6"/>
        <v>46210</v>
      </c>
      <c r="B12" s="349">
        <f t="shared" si="0"/>
        <v>10979077.799999999</v>
      </c>
      <c r="C12" s="349">
        <f t="shared" si="1"/>
        <v>9931390.5600000005</v>
      </c>
      <c r="D12" s="349">
        <f t="shared" si="2"/>
        <v>7930949.0000000009</v>
      </c>
      <c r="E12" s="349">
        <f t="shared" si="3"/>
        <v>24819784.560000002</v>
      </c>
      <c r="F12" s="349">
        <f t="shared" si="4"/>
        <v>7539750</v>
      </c>
      <c r="G12" s="35">
        <f t="shared" si="5"/>
        <v>61200951.920000002</v>
      </c>
    </row>
    <row r="13" spans="1:11" x14ac:dyDescent="0.3">
      <c r="A13" s="6">
        <f t="shared" si="6"/>
        <v>46211</v>
      </c>
      <c r="B13" s="349">
        <f t="shared" si="0"/>
        <v>10979077.799999999</v>
      </c>
      <c r="C13" s="349">
        <f t="shared" si="1"/>
        <v>9931390.5600000005</v>
      </c>
      <c r="D13" s="349">
        <f t="shared" si="2"/>
        <v>7930949.0000000009</v>
      </c>
      <c r="E13" s="349">
        <f t="shared" si="3"/>
        <v>24819784.560000002</v>
      </c>
      <c r="F13" s="349">
        <f t="shared" si="4"/>
        <v>7539750</v>
      </c>
      <c r="G13" s="35">
        <f t="shared" si="5"/>
        <v>61200951.920000002</v>
      </c>
    </row>
    <row r="14" spans="1:11" x14ac:dyDescent="0.3">
      <c r="A14" s="6">
        <f t="shared" si="6"/>
        <v>46212</v>
      </c>
      <c r="B14" s="349">
        <f t="shared" si="0"/>
        <v>10979077.799999999</v>
      </c>
      <c r="C14" s="349">
        <f t="shared" si="1"/>
        <v>9931390.5600000005</v>
      </c>
      <c r="D14" s="349">
        <f t="shared" si="2"/>
        <v>7930949.0000000009</v>
      </c>
      <c r="E14" s="349">
        <f t="shared" si="3"/>
        <v>24819784.560000002</v>
      </c>
      <c r="F14" s="349">
        <f t="shared" si="4"/>
        <v>7539750</v>
      </c>
      <c r="G14" s="35">
        <f t="shared" si="5"/>
        <v>61200951.920000002</v>
      </c>
    </row>
    <row r="15" spans="1:11" x14ac:dyDescent="0.3">
      <c r="A15" s="6">
        <f t="shared" si="6"/>
        <v>46213</v>
      </c>
      <c r="B15" s="349">
        <f t="shared" si="0"/>
        <v>10979077.799999999</v>
      </c>
      <c r="C15" s="349">
        <f t="shared" si="1"/>
        <v>9931390.5600000005</v>
      </c>
      <c r="D15" s="349">
        <f t="shared" si="2"/>
        <v>7930949.0000000009</v>
      </c>
      <c r="E15" s="349">
        <f t="shared" si="3"/>
        <v>24819784.560000002</v>
      </c>
      <c r="F15" s="349">
        <f t="shared" si="4"/>
        <v>7539750</v>
      </c>
      <c r="G15" s="35">
        <f t="shared" si="5"/>
        <v>61200951.920000002</v>
      </c>
    </row>
    <row r="16" spans="1:11" x14ac:dyDescent="0.3">
      <c r="A16" s="6">
        <f t="shared" si="6"/>
        <v>46214</v>
      </c>
      <c r="B16" s="349">
        <f t="shared" si="0"/>
        <v>10979077.799999999</v>
      </c>
      <c r="C16" s="349">
        <f t="shared" si="1"/>
        <v>9931390.5600000005</v>
      </c>
      <c r="D16" s="349">
        <f t="shared" si="2"/>
        <v>7930949.0000000009</v>
      </c>
      <c r="E16" s="349">
        <f t="shared" si="3"/>
        <v>24819784.560000002</v>
      </c>
      <c r="F16" s="349">
        <f t="shared" si="4"/>
        <v>7539750</v>
      </c>
      <c r="G16" s="35">
        <f t="shared" si="5"/>
        <v>61200951.920000002</v>
      </c>
    </row>
    <row r="17" spans="1:8" x14ac:dyDescent="0.3">
      <c r="A17" s="6">
        <f t="shared" si="6"/>
        <v>46215</v>
      </c>
      <c r="B17" s="349">
        <f t="shared" si="0"/>
        <v>10979077.799999999</v>
      </c>
      <c r="C17" s="349">
        <f t="shared" si="1"/>
        <v>9931390.5600000005</v>
      </c>
      <c r="D17" s="349">
        <f>28340*279.85</f>
        <v>7930949.0000000009</v>
      </c>
      <c r="E17" s="349">
        <f>(12787.2+12312+12844.8+12844.8+12758.4+12744+12398.4)*279.85</f>
        <v>24819784.560000002</v>
      </c>
      <c r="F17" s="349">
        <f t="shared" si="4"/>
        <v>7539750</v>
      </c>
      <c r="G17" s="35">
        <f t="shared" si="5"/>
        <v>61200951.920000002</v>
      </c>
    </row>
    <row r="18" spans="1:8" x14ac:dyDescent="0.3">
      <c r="A18" s="6">
        <f t="shared" si="6"/>
        <v>46216</v>
      </c>
      <c r="B18" s="349">
        <f t="shared" si="0"/>
        <v>10979077.799999999</v>
      </c>
      <c r="C18" s="349">
        <f t="shared" si="1"/>
        <v>9931390.5600000005</v>
      </c>
      <c r="D18" s="349">
        <f t="shared" ref="D18:D36" si="7">28340*279.85</f>
        <v>7930949.0000000009</v>
      </c>
      <c r="E18" s="349">
        <f t="shared" ref="E18:E36" si="8">(12787.2+12312+12844.8+12844.8+12758.4+12744+12398.4)*279.85</f>
        <v>24819784.560000002</v>
      </c>
      <c r="F18" s="349">
        <f t="shared" si="4"/>
        <v>7539750</v>
      </c>
      <c r="G18" s="35">
        <f t="shared" si="5"/>
        <v>61200951.920000002</v>
      </c>
    </row>
    <row r="19" spans="1:8" x14ac:dyDescent="0.3">
      <c r="A19" s="6">
        <f t="shared" si="6"/>
        <v>46217</v>
      </c>
      <c r="B19" s="349">
        <f t="shared" si="0"/>
        <v>10979077.799999999</v>
      </c>
      <c r="C19" s="349">
        <f t="shared" si="1"/>
        <v>9931390.5600000005</v>
      </c>
      <c r="D19" s="349">
        <f t="shared" si="7"/>
        <v>7930949.0000000009</v>
      </c>
      <c r="E19" s="349">
        <f t="shared" si="8"/>
        <v>24819784.560000002</v>
      </c>
      <c r="F19" s="349">
        <f t="shared" si="4"/>
        <v>7539750</v>
      </c>
      <c r="G19" s="35">
        <f t="shared" si="5"/>
        <v>61200951.920000002</v>
      </c>
    </row>
    <row r="20" spans="1:8" x14ac:dyDescent="0.3">
      <c r="A20" s="6">
        <f t="shared" si="6"/>
        <v>46218</v>
      </c>
      <c r="B20" s="349">
        <f t="shared" si="0"/>
        <v>10979077.799999999</v>
      </c>
      <c r="C20" s="349">
        <f t="shared" si="1"/>
        <v>9931390.5600000005</v>
      </c>
      <c r="D20" s="349">
        <f t="shared" si="7"/>
        <v>7930949.0000000009</v>
      </c>
      <c r="E20" s="349">
        <f t="shared" si="8"/>
        <v>24819784.560000002</v>
      </c>
      <c r="F20" s="349">
        <f t="shared" si="4"/>
        <v>7539750</v>
      </c>
      <c r="G20" s="35">
        <f t="shared" si="5"/>
        <v>61200951.920000002</v>
      </c>
      <c r="H20" s="34"/>
    </row>
    <row r="21" spans="1:8" x14ac:dyDescent="0.3">
      <c r="A21" s="6">
        <f t="shared" si="6"/>
        <v>46219</v>
      </c>
      <c r="B21" s="349">
        <f t="shared" si="0"/>
        <v>10979077.799999999</v>
      </c>
      <c r="C21" s="349">
        <f t="shared" si="1"/>
        <v>9931390.5600000005</v>
      </c>
      <c r="D21" s="349">
        <f t="shared" si="7"/>
        <v>7930949.0000000009</v>
      </c>
      <c r="E21" s="349">
        <f t="shared" si="8"/>
        <v>24819784.560000002</v>
      </c>
      <c r="F21" s="349">
        <f t="shared" si="4"/>
        <v>7539750</v>
      </c>
      <c r="G21" s="35">
        <f t="shared" si="5"/>
        <v>61200951.920000002</v>
      </c>
    </row>
    <row r="22" spans="1:8" x14ac:dyDescent="0.3">
      <c r="A22" s="6">
        <f t="shared" si="6"/>
        <v>46220</v>
      </c>
      <c r="B22" s="349">
        <f t="shared" si="0"/>
        <v>10979077.799999999</v>
      </c>
      <c r="C22" s="349">
        <f t="shared" si="1"/>
        <v>9931390.5600000005</v>
      </c>
      <c r="D22" s="349">
        <f t="shared" si="7"/>
        <v>7930949.0000000009</v>
      </c>
      <c r="E22" s="349">
        <f t="shared" si="8"/>
        <v>24819784.560000002</v>
      </c>
      <c r="F22" s="349">
        <f t="shared" si="4"/>
        <v>7539750</v>
      </c>
      <c r="G22" s="35">
        <f t="shared" si="5"/>
        <v>61200951.920000002</v>
      </c>
    </row>
    <row r="23" spans="1:8" x14ac:dyDescent="0.3">
      <c r="A23" s="6">
        <f t="shared" si="6"/>
        <v>46221</v>
      </c>
      <c r="B23" s="349">
        <f t="shared" si="0"/>
        <v>10979077.799999999</v>
      </c>
      <c r="C23" s="349">
        <f t="shared" si="1"/>
        <v>9931390.5600000005</v>
      </c>
      <c r="D23" s="349">
        <f t="shared" si="7"/>
        <v>7930949.0000000009</v>
      </c>
      <c r="E23" s="349">
        <f t="shared" si="8"/>
        <v>24819784.560000002</v>
      </c>
      <c r="F23" s="349">
        <f t="shared" si="4"/>
        <v>7539750</v>
      </c>
      <c r="G23" s="35">
        <f t="shared" si="5"/>
        <v>61200951.920000002</v>
      </c>
    </row>
    <row r="24" spans="1:8" x14ac:dyDescent="0.3">
      <c r="A24" s="6">
        <f t="shared" si="6"/>
        <v>46222</v>
      </c>
      <c r="B24" s="349">
        <f t="shared" si="0"/>
        <v>10979077.799999999</v>
      </c>
      <c r="C24" s="349">
        <f t="shared" si="1"/>
        <v>9931390.5600000005</v>
      </c>
      <c r="D24" s="349">
        <f t="shared" si="7"/>
        <v>7930949.0000000009</v>
      </c>
      <c r="E24" s="349">
        <f t="shared" si="8"/>
        <v>24819784.560000002</v>
      </c>
      <c r="F24" s="349">
        <f t="shared" si="4"/>
        <v>7539750</v>
      </c>
      <c r="G24" s="35">
        <f t="shared" si="5"/>
        <v>61200951.920000002</v>
      </c>
    </row>
    <row r="25" spans="1:8" x14ac:dyDescent="0.3">
      <c r="A25" s="6">
        <f t="shared" si="6"/>
        <v>46223</v>
      </c>
      <c r="B25" s="349">
        <f>33219.6*330.5</f>
        <v>10979077.799999999</v>
      </c>
      <c r="C25" s="349">
        <f>35380.8*280.7</f>
        <v>9931390.5600000005</v>
      </c>
      <c r="D25" s="349">
        <f t="shared" si="7"/>
        <v>7930949.0000000009</v>
      </c>
      <c r="E25" s="349">
        <f t="shared" si="8"/>
        <v>24819784.560000002</v>
      </c>
      <c r="F25" s="349">
        <f t="shared" si="4"/>
        <v>7539750</v>
      </c>
      <c r="G25" s="35">
        <f t="shared" si="5"/>
        <v>61200951.920000002</v>
      </c>
    </row>
    <row r="26" spans="1:8" x14ac:dyDescent="0.3">
      <c r="A26" s="6">
        <f t="shared" si="6"/>
        <v>46224</v>
      </c>
      <c r="B26" s="349">
        <f t="shared" ref="B26:B36" si="9">33219.6*330.5</f>
        <v>10979077.799999999</v>
      </c>
      <c r="C26" s="349">
        <f t="shared" ref="C26:C36" si="10">35380.8*280.7</f>
        <v>9931390.5600000005</v>
      </c>
      <c r="D26" s="349">
        <f t="shared" si="7"/>
        <v>7930949.0000000009</v>
      </c>
      <c r="E26" s="349">
        <f t="shared" si="8"/>
        <v>24819784.560000002</v>
      </c>
      <c r="F26" s="349">
        <f t="shared" si="4"/>
        <v>7539750</v>
      </c>
      <c r="G26" s="35">
        <f t="shared" si="5"/>
        <v>61200951.920000002</v>
      </c>
    </row>
    <row r="27" spans="1:8" x14ac:dyDescent="0.3">
      <c r="A27" s="6">
        <f t="shared" si="6"/>
        <v>46225</v>
      </c>
      <c r="B27" s="349">
        <f t="shared" si="9"/>
        <v>10979077.799999999</v>
      </c>
      <c r="C27" s="349">
        <f t="shared" si="10"/>
        <v>9931390.5600000005</v>
      </c>
      <c r="D27" s="349">
        <f t="shared" si="7"/>
        <v>7930949.0000000009</v>
      </c>
      <c r="E27" s="349">
        <f t="shared" si="8"/>
        <v>24819784.560000002</v>
      </c>
      <c r="F27" s="349">
        <f>27000*279.25</f>
        <v>7539750</v>
      </c>
      <c r="G27" s="35">
        <f t="shared" si="5"/>
        <v>61200951.920000002</v>
      </c>
    </row>
    <row r="28" spans="1:8" x14ac:dyDescent="0.3">
      <c r="A28" s="6">
        <f t="shared" si="6"/>
        <v>46226</v>
      </c>
      <c r="B28" s="349">
        <f t="shared" si="9"/>
        <v>10979077.799999999</v>
      </c>
      <c r="C28" s="349">
        <f t="shared" si="10"/>
        <v>9931390.5600000005</v>
      </c>
      <c r="D28" s="349">
        <f t="shared" si="7"/>
        <v>7930949.0000000009</v>
      </c>
      <c r="E28" s="349">
        <f t="shared" si="8"/>
        <v>24819784.560000002</v>
      </c>
      <c r="F28" s="349">
        <f t="shared" ref="F28:F36" si="11">27000*279.25</f>
        <v>7539750</v>
      </c>
      <c r="G28" s="35">
        <f t="shared" si="5"/>
        <v>61200951.920000002</v>
      </c>
    </row>
    <row r="29" spans="1:8" x14ac:dyDescent="0.3">
      <c r="A29" s="6">
        <f t="shared" si="6"/>
        <v>46227</v>
      </c>
      <c r="B29" s="349">
        <f t="shared" si="9"/>
        <v>10979077.799999999</v>
      </c>
      <c r="C29" s="349">
        <f t="shared" si="10"/>
        <v>9931390.5600000005</v>
      </c>
      <c r="D29" s="349">
        <f t="shared" si="7"/>
        <v>7930949.0000000009</v>
      </c>
      <c r="E29" s="349">
        <f t="shared" si="8"/>
        <v>24819784.560000002</v>
      </c>
      <c r="F29" s="349">
        <f t="shared" si="11"/>
        <v>7539750</v>
      </c>
      <c r="G29" s="35">
        <f t="shared" si="5"/>
        <v>61200951.920000002</v>
      </c>
    </row>
    <row r="30" spans="1:8" x14ac:dyDescent="0.3">
      <c r="A30" s="6">
        <f t="shared" si="6"/>
        <v>46228</v>
      </c>
      <c r="B30" s="349">
        <f t="shared" si="9"/>
        <v>10979077.799999999</v>
      </c>
      <c r="C30" s="349">
        <f t="shared" si="10"/>
        <v>9931390.5600000005</v>
      </c>
      <c r="D30" s="349">
        <f t="shared" si="7"/>
        <v>7930949.0000000009</v>
      </c>
      <c r="E30" s="349">
        <f t="shared" si="8"/>
        <v>24819784.560000002</v>
      </c>
      <c r="F30" s="349">
        <f t="shared" si="11"/>
        <v>7539750</v>
      </c>
      <c r="G30" s="35">
        <f t="shared" si="5"/>
        <v>61200951.920000002</v>
      </c>
    </row>
    <row r="31" spans="1:8" x14ac:dyDescent="0.3">
      <c r="A31" s="6">
        <f t="shared" si="6"/>
        <v>46229</v>
      </c>
      <c r="B31" s="349">
        <f t="shared" si="9"/>
        <v>10979077.799999999</v>
      </c>
      <c r="C31" s="349">
        <f t="shared" si="10"/>
        <v>9931390.5600000005</v>
      </c>
      <c r="D31" s="349">
        <f t="shared" si="7"/>
        <v>7930949.0000000009</v>
      </c>
      <c r="E31" s="349">
        <f t="shared" si="8"/>
        <v>24819784.560000002</v>
      </c>
      <c r="F31" s="349">
        <f t="shared" si="11"/>
        <v>7539750</v>
      </c>
      <c r="G31" s="35">
        <f t="shared" si="5"/>
        <v>61200951.920000002</v>
      </c>
    </row>
    <row r="32" spans="1:8" x14ac:dyDescent="0.3">
      <c r="A32" s="6">
        <f t="shared" si="6"/>
        <v>46230</v>
      </c>
      <c r="B32" s="349">
        <f t="shared" si="9"/>
        <v>10979077.799999999</v>
      </c>
      <c r="C32" s="349">
        <f t="shared" si="10"/>
        <v>9931390.5600000005</v>
      </c>
      <c r="D32" s="349">
        <f t="shared" si="7"/>
        <v>7930949.0000000009</v>
      </c>
      <c r="E32" s="349">
        <f t="shared" si="8"/>
        <v>24819784.560000002</v>
      </c>
      <c r="F32" s="349">
        <f t="shared" si="11"/>
        <v>7539750</v>
      </c>
      <c r="G32" s="35">
        <f t="shared" si="5"/>
        <v>61200951.920000002</v>
      </c>
    </row>
    <row r="33" spans="1:7" x14ac:dyDescent="0.3">
      <c r="A33" s="6">
        <f t="shared" si="6"/>
        <v>46231</v>
      </c>
      <c r="B33" s="349">
        <f t="shared" si="9"/>
        <v>10979077.799999999</v>
      </c>
      <c r="C33" s="349">
        <f t="shared" si="10"/>
        <v>9931390.5600000005</v>
      </c>
      <c r="D33" s="349">
        <f t="shared" si="7"/>
        <v>7930949.0000000009</v>
      </c>
      <c r="E33" s="349">
        <f t="shared" si="8"/>
        <v>24819784.560000002</v>
      </c>
      <c r="F33" s="349">
        <f t="shared" si="11"/>
        <v>7539750</v>
      </c>
      <c r="G33" s="35">
        <f t="shared" si="5"/>
        <v>61200951.920000002</v>
      </c>
    </row>
    <row r="34" spans="1:7" x14ac:dyDescent="0.3">
      <c r="A34" s="6">
        <f t="shared" si="6"/>
        <v>46232</v>
      </c>
      <c r="B34" s="349">
        <f t="shared" si="9"/>
        <v>10979077.799999999</v>
      </c>
      <c r="C34" s="349">
        <f t="shared" si="10"/>
        <v>9931390.5600000005</v>
      </c>
      <c r="D34" s="349">
        <f t="shared" si="7"/>
        <v>7930949.0000000009</v>
      </c>
      <c r="E34" s="349">
        <f t="shared" si="8"/>
        <v>24819784.560000002</v>
      </c>
      <c r="F34" s="349">
        <f t="shared" si="11"/>
        <v>7539750</v>
      </c>
      <c r="G34" s="35">
        <f t="shared" si="5"/>
        <v>61200951.920000002</v>
      </c>
    </row>
    <row r="35" spans="1:7" x14ac:dyDescent="0.3">
      <c r="A35" s="6">
        <f t="shared" si="6"/>
        <v>46233</v>
      </c>
      <c r="B35" s="349">
        <f t="shared" si="9"/>
        <v>10979077.799999999</v>
      </c>
      <c r="C35" s="349">
        <f t="shared" si="10"/>
        <v>9931390.5600000005</v>
      </c>
      <c r="D35" s="349">
        <f t="shared" si="7"/>
        <v>7930949.0000000009</v>
      </c>
      <c r="E35" s="349">
        <f t="shared" si="8"/>
        <v>24819784.560000002</v>
      </c>
      <c r="F35" s="349">
        <f t="shared" si="11"/>
        <v>7539750</v>
      </c>
      <c r="G35" s="35">
        <f t="shared" si="5"/>
        <v>61200951.920000002</v>
      </c>
    </row>
    <row r="36" spans="1:7" x14ac:dyDescent="0.3">
      <c r="A36" s="6">
        <f t="shared" si="6"/>
        <v>46234</v>
      </c>
      <c r="B36" s="349">
        <f t="shared" si="9"/>
        <v>10979077.799999999</v>
      </c>
      <c r="C36" s="349">
        <f t="shared" si="10"/>
        <v>9931390.5600000005</v>
      </c>
      <c r="D36" s="349">
        <f t="shared" si="7"/>
        <v>7930949.0000000009</v>
      </c>
      <c r="E36" s="349">
        <f t="shared" si="8"/>
        <v>24819784.560000002</v>
      </c>
      <c r="F36" s="349">
        <f t="shared" si="11"/>
        <v>7539750</v>
      </c>
      <c r="G36" s="35">
        <f t="shared" si="5"/>
        <v>61200951.920000002</v>
      </c>
    </row>
    <row r="37" spans="1:7" x14ac:dyDescent="0.3">
      <c r="A37" s="317"/>
      <c r="B37" s="326"/>
      <c r="C37" s="326"/>
      <c r="D37" s="326"/>
      <c r="E37" s="326"/>
      <c r="F37" s="326"/>
      <c r="G37" s="317"/>
    </row>
    <row r="38" spans="1:7" x14ac:dyDescent="0.3">
      <c r="A38" s="319" t="s">
        <v>56</v>
      </c>
      <c r="B38" s="327"/>
      <c r="C38" s="327"/>
      <c r="D38" s="327"/>
      <c r="E38" s="327"/>
      <c r="F38" s="327"/>
      <c r="G38" s="319"/>
    </row>
    <row r="39" spans="1:7" s="75" customFormat="1" ht="82.8" x14ac:dyDescent="0.25">
      <c r="A39" s="51" t="s">
        <v>2</v>
      </c>
      <c r="B39" s="46" t="str">
        <f>B5</f>
        <v>LD2605100021
C.D 20.02.2026, M.D 19.08.2026)</v>
      </c>
      <c r="C39" s="46" t="str">
        <f>C5</f>
        <v>LD2605100017
C.D 20.02.2026, M.D 19.08.2026)</v>
      </c>
      <c r="D39" s="46" t="str">
        <f>D5</f>
        <v>LD2616300020
C.D 12.06.2026, M.D 09.12.2026)</v>
      </c>
      <c r="E39" s="46" t="str">
        <f>E5</f>
        <v>LD2616300020/23/25/26/29/33/36
C.D 12.06.2026, M.D 09.12.2026)</v>
      </c>
      <c r="F39" s="46" t="str">
        <f>F5</f>
        <v>LD2617300004
C.D 22.06.2026, M.D 19.12.2026)</v>
      </c>
      <c r="G39" s="46" t="s">
        <v>0</v>
      </c>
    </row>
    <row r="40" spans="1:7" s="91" customFormat="1" ht="27.6" x14ac:dyDescent="0.25">
      <c r="A40" s="374" t="s">
        <v>317</v>
      </c>
      <c r="B40" s="358">
        <f>11.49%+1.25%</f>
        <v>0.12740000000000001</v>
      </c>
      <c r="C40" s="358">
        <f>11.49%+1.25%</f>
        <v>0.12740000000000001</v>
      </c>
      <c r="D40" s="358">
        <f>12.42%+1.25%</f>
        <v>0.13670000000000002</v>
      </c>
      <c r="E40" s="358">
        <f>12.42%+1.25%</f>
        <v>0.13670000000000002</v>
      </c>
      <c r="F40" s="358">
        <f>11.91%+1.25%</f>
        <v>0.13159999999999999</v>
      </c>
      <c r="G40" s="90"/>
    </row>
    <row r="41" spans="1:7" x14ac:dyDescent="0.3">
      <c r="A41" s="6">
        <f t="shared" ref="A41:A70" si="12">A6</f>
        <v>46204</v>
      </c>
      <c r="B41" s="5">
        <f t="shared" ref="B41:F50" si="13">IF(B6&lt;0,0,B6*B$40/365)</f>
        <v>3832.1493471780823</v>
      </c>
      <c r="C41" s="5">
        <f t="shared" si="13"/>
        <v>3466.4634447780827</v>
      </c>
      <c r="D41" s="5">
        <f t="shared" si="13"/>
        <v>2970.3033652054801</v>
      </c>
      <c r="E41" s="5">
        <f t="shared" si="13"/>
        <v>9295.5193132931527</v>
      </c>
      <c r="F41" s="5">
        <f t="shared" si="13"/>
        <v>2718.4413698630137</v>
      </c>
      <c r="G41" s="5">
        <f t="shared" ref="G41:G72" si="14">SUM(B41:F41)</f>
        <v>22282.876840317811</v>
      </c>
    </row>
    <row r="42" spans="1:7" x14ac:dyDescent="0.3">
      <c r="A42" s="6">
        <f t="shared" si="12"/>
        <v>46205</v>
      </c>
      <c r="B42" s="5">
        <f t="shared" si="13"/>
        <v>3832.1493471780823</v>
      </c>
      <c r="C42" s="5">
        <f t="shared" si="13"/>
        <v>3466.4634447780827</v>
      </c>
      <c r="D42" s="5">
        <f t="shared" si="13"/>
        <v>2970.3033652054801</v>
      </c>
      <c r="E42" s="5">
        <f t="shared" si="13"/>
        <v>9295.5193132931527</v>
      </c>
      <c r="F42" s="5">
        <f t="shared" si="13"/>
        <v>2718.4413698630137</v>
      </c>
      <c r="G42" s="5">
        <f t="shared" si="14"/>
        <v>22282.876840317811</v>
      </c>
    </row>
    <row r="43" spans="1:7" x14ac:dyDescent="0.3">
      <c r="A43" s="6">
        <f t="shared" si="12"/>
        <v>46206</v>
      </c>
      <c r="B43" s="5">
        <f t="shared" si="13"/>
        <v>3832.1493471780823</v>
      </c>
      <c r="C43" s="5">
        <f t="shared" si="13"/>
        <v>3466.4634447780827</v>
      </c>
      <c r="D43" s="5">
        <f t="shared" si="13"/>
        <v>2970.3033652054801</v>
      </c>
      <c r="E43" s="5">
        <f t="shared" si="13"/>
        <v>9295.5193132931527</v>
      </c>
      <c r="F43" s="5">
        <f t="shared" si="13"/>
        <v>2718.4413698630137</v>
      </c>
      <c r="G43" s="5">
        <f t="shared" si="14"/>
        <v>22282.876840317811</v>
      </c>
    </row>
    <row r="44" spans="1:7" x14ac:dyDescent="0.3">
      <c r="A44" s="6">
        <f t="shared" si="12"/>
        <v>46207</v>
      </c>
      <c r="B44" s="5">
        <f t="shared" si="13"/>
        <v>3832.1493471780823</v>
      </c>
      <c r="C44" s="5">
        <f t="shared" si="13"/>
        <v>3466.4634447780827</v>
      </c>
      <c r="D44" s="5">
        <f t="shared" si="13"/>
        <v>2970.3033652054801</v>
      </c>
      <c r="E44" s="5">
        <f t="shared" si="13"/>
        <v>9295.5193132931527</v>
      </c>
      <c r="F44" s="5">
        <f t="shared" si="13"/>
        <v>2718.4413698630137</v>
      </c>
      <c r="G44" s="5">
        <f t="shared" si="14"/>
        <v>22282.876840317811</v>
      </c>
    </row>
    <row r="45" spans="1:7" x14ac:dyDescent="0.3">
      <c r="A45" s="6">
        <f t="shared" si="12"/>
        <v>46208</v>
      </c>
      <c r="B45" s="5">
        <f t="shared" si="13"/>
        <v>3832.1493471780823</v>
      </c>
      <c r="C45" s="5">
        <f t="shared" si="13"/>
        <v>3466.4634447780827</v>
      </c>
      <c r="D45" s="5">
        <f t="shared" si="13"/>
        <v>2970.3033652054801</v>
      </c>
      <c r="E45" s="5">
        <f t="shared" si="13"/>
        <v>9295.5193132931527</v>
      </c>
      <c r="F45" s="5">
        <f t="shared" si="13"/>
        <v>2718.4413698630137</v>
      </c>
      <c r="G45" s="5">
        <f t="shared" si="14"/>
        <v>22282.876840317811</v>
      </c>
    </row>
    <row r="46" spans="1:7" x14ac:dyDescent="0.3">
      <c r="A46" s="6">
        <f t="shared" si="12"/>
        <v>46209</v>
      </c>
      <c r="B46" s="5">
        <f t="shared" si="13"/>
        <v>3832.1493471780823</v>
      </c>
      <c r="C46" s="5">
        <f t="shared" si="13"/>
        <v>3466.4634447780827</v>
      </c>
      <c r="D46" s="5">
        <f t="shared" si="13"/>
        <v>2970.3033652054801</v>
      </c>
      <c r="E46" s="5">
        <f t="shared" si="13"/>
        <v>9295.5193132931527</v>
      </c>
      <c r="F46" s="5">
        <f t="shared" si="13"/>
        <v>2718.4413698630137</v>
      </c>
      <c r="G46" s="5">
        <f t="shared" si="14"/>
        <v>22282.876840317811</v>
      </c>
    </row>
    <row r="47" spans="1:7" x14ac:dyDescent="0.3">
      <c r="A47" s="6">
        <f t="shared" si="12"/>
        <v>46210</v>
      </c>
      <c r="B47" s="5">
        <f t="shared" si="13"/>
        <v>3832.1493471780823</v>
      </c>
      <c r="C47" s="5">
        <f t="shared" si="13"/>
        <v>3466.4634447780827</v>
      </c>
      <c r="D47" s="5">
        <f t="shared" si="13"/>
        <v>2970.3033652054801</v>
      </c>
      <c r="E47" s="5">
        <f t="shared" si="13"/>
        <v>9295.5193132931527</v>
      </c>
      <c r="F47" s="5">
        <f t="shared" si="13"/>
        <v>2718.4413698630137</v>
      </c>
      <c r="G47" s="5">
        <f t="shared" si="14"/>
        <v>22282.876840317811</v>
      </c>
    </row>
    <row r="48" spans="1:7" x14ac:dyDescent="0.3">
      <c r="A48" s="6">
        <f t="shared" si="12"/>
        <v>46211</v>
      </c>
      <c r="B48" s="5">
        <f t="shared" si="13"/>
        <v>3832.1493471780823</v>
      </c>
      <c r="C48" s="5">
        <f t="shared" si="13"/>
        <v>3466.4634447780827</v>
      </c>
      <c r="D48" s="5">
        <f t="shared" si="13"/>
        <v>2970.3033652054801</v>
      </c>
      <c r="E48" s="5">
        <f t="shared" si="13"/>
        <v>9295.5193132931527</v>
      </c>
      <c r="F48" s="5">
        <f t="shared" si="13"/>
        <v>2718.4413698630137</v>
      </c>
      <c r="G48" s="5">
        <f t="shared" si="14"/>
        <v>22282.876840317811</v>
      </c>
    </row>
    <row r="49" spans="1:7" x14ac:dyDescent="0.3">
      <c r="A49" s="6">
        <f t="shared" si="12"/>
        <v>46212</v>
      </c>
      <c r="B49" s="5">
        <f t="shared" si="13"/>
        <v>3832.1493471780823</v>
      </c>
      <c r="C49" s="5">
        <f t="shared" si="13"/>
        <v>3466.4634447780827</v>
      </c>
      <c r="D49" s="5">
        <f t="shared" si="13"/>
        <v>2970.3033652054801</v>
      </c>
      <c r="E49" s="5">
        <f t="shared" si="13"/>
        <v>9295.5193132931527</v>
      </c>
      <c r="F49" s="5">
        <f t="shared" si="13"/>
        <v>2718.4413698630137</v>
      </c>
      <c r="G49" s="5">
        <f t="shared" si="14"/>
        <v>22282.876840317811</v>
      </c>
    </row>
    <row r="50" spans="1:7" x14ac:dyDescent="0.3">
      <c r="A50" s="6">
        <f t="shared" si="12"/>
        <v>46213</v>
      </c>
      <c r="B50" s="5">
        <f t="shared" si="13"/>
        <v>3832.1493471780823</v>
      </c>
      <c r="C50" s="5">
        <f t="shared" si="13"/>
        <v>3466.4634447780827</v>
      </c>
      <c r="D50" s="5">
        <f t="shared" si="13"/>
        <v>2970.3033652054801</v>
      </c>
      <c r="E50" s="5">
        <f t="shared" si="13"/>
        <v>9295.5193132931527</v>
      </c>
      <c r="F50" s="5">
        <f t="shared" si="13"/>
        <v>2718.4413698630137</v>
      </c>
      <c r="G50" s="5">
        <f t="shared" si="14"/>
        <v>22282.876840317811</v>
      </c>
    </row>
    <row r="51" spans="1:7" x14ac:dyDescent="0.3">
      <c r="A51" s="6">
        <f t="shared" si="12"/>
        <v>46214</v>
      </c>
      <c r="B51" s="5">
        <f t="shared" ref="B51:F60" si="15">IF(B16&lt;0,0,B16*B$40/365)</f>
        <v>3832.1493471780823</v>
      </c>
      <c r="C51" s="5">
        <f t="shared" si="15"/>
        <v>3466.4634447780827</v>
      </c>
      <c r="D51" s="5">
        <f t="shared" si="15"/>
        <v>2970.3033652054801</v>
      </c>
      <c r="E51" s="5">
        <f t="shared" si="15"/>
        <v>9295.5193132931527</v>
      </c>
      <c r="F51" s="5">
        <f t="shared" si="15"/>
        <v>2718.4413698630137</v>
      </c>
      <c r="G51" s="5">
        <f t="shared" si="14"/>
        <v>22282.876840317811</v>
      </c>
    </row>
    <row r="52" spans="1:7" x14ac:dyDescent="0.3">
      <c r="A52" s="6">
        <f t="shared" si="12"/>
        <v>46215</v>
      </c>
      <c r="B52" s="5">
        <f t="shared" si="15"/>
        <v>3832.1493471780823</v>
      </c>
      <c r="C52" s="5">
        <f t="shared" si="15"/>
        <v>3466.4634447780827</v>
      </c>
      <c r="D52" s="5">
        <f t="shared" si="15"/>
        <v>2970.3033652054801</v>
      </c>
      <c r="E52" s="5">
        <f t="shared" si="15"/>
        <v>9295.5193132931527</v>
      </c>
      <c r="F52" s="5">
        <f t="shared" si="15"/>
        <v>2718.4413698630137</v>
      </c>
      <c r="G52" s="5">
        <f t="shared" si="14"/>
        <v>22282.876840317811</v>
      </c>
    </row>
    <row r="53" spans="1:7" x14ac:dyDescent="0.3">
      <c r="A53" s="6">
        <f t="shared" si="12"/>
        <v>46216</v>
      </c>
      <c r="B53" s="5">
        <f t="shared" si="15"/>
        <v>3832.1493471780823</v>
      </c>
      <c r="C53" s="5">
        <f t="shared" si="15"/>
        <v>3466.4634447780827</v>
      </c>
      <c r="D53" s="5">
        <f t="shared" si="15"/>
        <v>2970.3033652054801</v>
      </c>
      <c r="E53" s="5">
        <f t="shared" si="15"/>
        <v>9295.5193132931527</v>
      </c>
      <c r="F53" s="5">
        <f t="shared" si="15"/>
        <v>2718.4413698630137</v>
      </c>
      <c r="G53" s="5">
        <f t="shared" si="14"/>
        <v>22282.876840317811</v>
      </c>
    </row>
    <row r="54" spans="1:7" x14ac:dyDescent="0.3">
      <c r="A54" s="6">
        <f t="shared" si="12"/>
        <v>46217</v>
      </c>
      <c r="B54" s="5">
        <f t="shared" si="15"/>
        <v>3832.1493471780823</v>
      </c>
      <c r="C54" s="5">
        <f t="shared" si="15"/>
        <v>3466.4634447780827</v>
      </c>
      <c r="D54" s="5">
        <f t="shared" si="15"/>
        <v>2970.3033652054801</v>
      </c>
      <c r="E54" s="5">
        <f t="shared" si="15"/>
        <v>9295.5193132931527</v>
      </c>
      <c r="F54" s="5">
        <f t="shared" si="15"/>
        <v>2718.4413698630137</v>
      </c>
      <c r="G54" s="5">
        <f t="shared" si="14"/>
        <v>22282.876840317811</v>
      </c>
    </row>
    <row r="55" spans="1:7" x14ac:dyDescent="0.3">
      <c r="A55" s="6">
        <f t="shared" si="12"/>
        <v>46218</v>
      </c>
      <c r="B55" s="5">
        <f t="shared" si="15"/>
        <v>3832.1493471780823</v>
      </c>
      <c r="C55" s="5">
        <f t="shared" si="15"/>
        <v>3466.4634447780827</v>
      </c>
      <c r="D55" s="5">
        <f t="shared" si="15"/>
        <v>2970.3033652054801</v>
      </c>
      <c r="E55" s="5">
        <f t="shared" si="15"/>
        <v>9295.5193132931527</v>
      </c>
      <c r="F55" s="5">
        <f t="shared" si="15"/>
        <v>2718.4413698630137</v>
      </c>
      <c r="G55" s="5">
        <f t="shared" si="14"/>
        <v>22282.876840317811</v>
      </c>
    </row>
    <row r="56" spans="1:7" x14ac:dyDescent="0.3">
      <c r="A56" s="6">
        <f t="shared" si="12"/>
        <v>46219</v>
      </c>
      <c r="B56" s="5">
        <f t="shared" si="15"/>
        <v>3832.1493471780823</v>
      </c>
      <c r="C56" s="5">
        <f t="shared" si="15"/>
        <v>3466.4634447780827</v>
      </c>
      <c r="D56" s="5">
        <f t="shared" si="15"/>
        <v>2970.3033652054801</v>
      </c>
      <c r="E56" s="5">
        <f t="shared" si="15"/>
        <v>9295.5193132931527</v>
      </c>
      <c r="F56" s="5">
        <f t="shared" si="15"/>
        <v>2718.4413698630137</v>
      </c>
      <c r="G56" s="5">
        <f t="shared" si="14"/>
        <v>22282.876840317811</v>
      </c>
    </row>
    <row r="57" spans="1:7" x14ac:dyDescent="0.3">
      <c r="A57" s="6">
        <f t="shared" si="12"/>
        <v>46220</v>
      </c>
      <c r="B57" s="5">
        <f t="shared" si="15"/>
        <v>3832.1493471780823</v>
      </c>
      <c r="C57" s="5">
        <f t="shared" si="15"/>
        <v>3466.4634447780827</v>
      </c>
      <c r="D57" s="5">
        <f t="shared" si="15"/>
        <v>2970.3033652054801</v>
      </c>
      <c r="E57" s="5">
        <f t="shared" si="15"/>
        <v>9295.5193132931527</v>
      </c>
      <c r="F57" s="5">
        <f t="shared" si="15"/>
        <v>2718.4413698630137</v>
      </c>
      <c r="G57" s="5">
        <f t="shared" si="14"/>
        <v>22282.876840317811</v>
      </c>
    </row>
    <row r="58" spans="1:7" x14ac:dyDescent="0.3">
      <c r="A58" s="6">
        <f t="shared" si="12"/>
        <v>46221</v>
      </c>
      <c r="B58" s="5">
        <f t="shared" si="15"/>
        <v>3832.1493471780823</v>
      </c>
      <c r="C58" s="5">
        <f t="shared" si="15"/>
        <v>3466.4634447780827</v>
      </c>
      <c r="D58" s="5">
        <f t="shared" si="15"/>
        <v>2970.3033652054801</v>
      </c>
      <c r="E58" s="5">
        <f t="shared" si="15"/>
        <v>9295.5193132931527</v>
      </c>
      <c r="F58" s="5">
        <f t="shared" si="15"/>
        <v>2718.4413698630137</v>
      </c>
      <c r="G58" s="5">
        <f t="shared" si="14"/>
        <v>22282.876840317811</v>
      </c>
    </row>
    <row r="59" spans="1:7" x14ac:dyDescent="0.3">
      <c r="A59" s="6">
        <f t="shared" si="12"/>
        <v>46222</v>
      </c>
      <c r="B59" s="5">
        <f t="shared" si="15"/>
        <v>3832.1493471780823</v>
      </c>
      <c r="C59" s="5">
        <f t="shared" si="15"/>
        <v>3466.4634447780827</v>
      </c>
      <c r="D59" s="5">
        <f t="shared" si="15"/>
        <v>2970.3033652054801</v>
      </c>
      <c r="E59" s="5">
        <f t="shared" si="15"/>
        <v>9295.5193132931527</v>
      </c>
      <c r="F59" s="5">
        <f t="shared" si="15"/>
        <v>2718.4413698630137</v>
      </c>
      <c r="G59" s="5">
        <f t="shared" si="14"/>
        <v>22282.876840317811</v>
      </c>
    </row>
    <row r="60" spans="1:7" x14ac:dyDescent="0.3">
      <c r="A60" s="315">
        <f t="shared" si="12"/>
        <v>46223</v>
      </c>
      <c r="B60" s="5">
        <f t="shared" si="15"/>
        <v>3832.1493471780823</v>
      </c>
      <c r="C60" s="5">
        <f t="shared" si="15"/>
        <v>3466.4634447780827</v>
      </c>
      <c r="D60" s="5">
        <f t="shared" si="15"/>
        <v>2970.3033652054801</v>
      </c>
      <c r="E60" s="5">
        <f t="shared" si="15"/>
        <v>9295.5193132931527</v>
      </c>
      <c r="F60" s="5">
        <f t="shared" si="15"/>
        <v>2718.4413698630137</v>
      </c>
      <c r="G60" s="5">
        <f t="shared" si="14"/>
        <v>22282.876840317811</v>
      </c>
    </row>
    <row r="61" spans="1:7" x14ac:dyDescent="0.3">
      <c r="A61" s="315">
        <f t="shared" si="12"/>
        <v>46224</v>
      </c>
      <c r="B61" s="5">
        <f t="shared" ref="B61:F70" si="16">IF(B26&lt;0,0,B26*B$40/365)</f>
        <v>3832.1493471780823</v>
      </c>
      <c r="C61" s="5">
        <f t="shared" si="16"/>
        <v>3466.4634447780827</v>
      </c>
      <c r="D61" s="5">
        <f t="shared" si="16"/>
        <v>2970.3033652054801</v>
      </c>
      <c r="E61" s="5">
        <f t="shared" si="16"/>
        <v>9295.5193132931527</v>
      </c>
      <c r="F61" s="5">
        <f t="shared" si="16"/>
        <v>2718.4413698630137</v>
      </c>
      <c r="G61" s="5">
        <f t="shared" si="14"/>
        <v>22282.876840317811</v>
      </c>
    </row>
    <row r="62" spans="1:7" x14ac:dyDescent="0.3">
      <c r="A62" s="315">
        <f t="shared" si="12"/>
        <v>46225</v>
      </c>
      <c r="B62" s="5">
        <f t="shared" si="16"/>
        <v>3832.1493471780823</v>
      </c>
      <c r="C62" s="5">
        <f t="shared" si="16"/>
        <v>3466.4634447780827</v>
      </c>
      <c r="D62" s="5">
        <f t="shared" si="16"/>
        <v>2970.3033652054801</v>
      </c>
      <c r="E62" s="5">
        <f t="shared" si="16"/>
        <v>9295.5193132931527</v>
      </c>
      <c r="F62" s="5">
        <f t="shared" si="16"/>
        <v>2718.4413698630137</v>
      </c>
      <c r="G62" s="5">
        <f t="shared" si="14"/>
        <v>22282.876840317811</v>
      </c>
    </row>
    <row r="63" spans="1:7" x14ac:dyDescent="0.3">
      <c r="A63" s="315">
        <f t="shared" si="12"/>
        <v>46226</v>
      </c>
      <c r="B63" s="5">
        <f t="shared" si="16"/>
        <v>3832.1493471780823</v>
      </c>
      <c r="C63" s="5">
        <f t="shared" si="16"/>
        <v>3466.4634447780827</v>
      </c>
      <c r="D63" s="5">
        <f t="shared" si="16"/>
        <v>2970.3033652054801</v>
      </c>
      <c r="E63" s="5">
        <f t="shared" si="16"/>
        <v>9295.5193132931527</v>
      </c>
      <c r="F63" s="5">
        <f t="shared" si="16"/>
        <v>2718.4413698630137</v>
      </c>
      <c r="G63" s="5">
        <f t="shared" si="14"/>
        <v>22282.876840317811</v>
      </c>
    </row>
    <row r="64" spans="1:7" x14ac:dyDescent="0.3">
      <c r="A64" s="315">
        <f t="shared" si="12"/>
        <v>46227</v>
      </c>
      <c r="B64" s="5">
        <f t="shared" si="16"/>
        <v>3832.1493471780823</v>
      </c>
      <c r="C64" s="5">
        <f t="shared" si="16"/>
        <v>3466.4634447780827</v>
      </c>
      <c r="D64" s="5">
        <f t="shared" si="16"/>
        <v>2970.3033652054801</v>
      </c>
      <c r="E64" s="5">
        <f t="shared" si="16"/>
        <v>9295.5193132931527</v>
      </c>
      <c r="F64" s="5">
        <f t="shared" si="16"/>
        <v>2718.4413698630137</v>
      </c>
      <c r="G64" s="5">
        <f t="shared" si="14"/>
        <v>22282.876840317811</v>
      </c>
    </row>
    <row r="65" spans="1:9" x14ac:dyDescent="0.3">
      <c r="A65" s="315">
        <f t="shared" si="12"/>
        <v>46228</v>
      </c>
      <c r="B65" s="5">
        <f t="shared" si="16"/>
        <v>3832.1493471780823</v>
      </c>
      <c r="C65" s="5">
        <f t="shared" si="16"/>
        <v>3466.4634447780827</v>
      </c>
      <c r="D65" s="5">
        <f t="shared" si="16"/>
        <v>2970.3033652054801</v>
      </c>
      <c r="E65" s="5">
        <f t="shared" si="16"/>
        <v>9295.5193132931527</v>
      </c>
      <c r="F65" s="5">
        <f t="shared" si="16"/>
        <v>2718.4413698630137</v>
      </c>
      <c r="G65" s="5">
        <f t="shared" si="14"/>
        <v>22282.876840317811</v>
      </c>
    </row>
    <row r="66" spans="1:9" x14ac:dyDescent="0.3">
      <c r="A66" s="315">
        <f t="shared" si="12"/>
        <v>46229</v>
      </c>
      <c r="B66" s="5">
        <f t="shared" si="16"/>
        <v>3832.1493471780823</v>
      </c>
      <c r="C66" s="5">
        <f t="shared" si="16"/>
        <v>3466.4634447780827</v>
      </c>
      <c r="D66" s="5">
        <f t="shared" si="16"/>
        <v>2970.3033652054801</v>
      </c>
      <c r="E66" s="5">
        <f t="shared" si="16"/>
        <v>9295.5193132931527</v>
      </c>
      <c r="F66" s="5">
        <f t="shared" si="16"/>
        <v>2718.4413698630137</v>
      </c>
      <c r="G66" s="5">
        <f t="shared" si="14"/>
        <v>22282.876840317811</v>
      </c>
    </row>
    <row r="67" spans="1:9" x14ac:dyDescent="0.3">
      <c r="A67" s="315">
        <f t="shared" si="12"/>
        <v>46230</v>
      </c>
      <c r="B67" s="5">
        <f t="shared" si="16"/>
        <v>3832.1493471780823</v>
      </c>
      <c r="C67" s="5">
        <f t="shared" si="16"/>
        <v>3466.4634447780827</v>
      </c>
      <c r="D67" s="5">
        <f t="shared" si="16"/>
        <v>2970.3033652054801</v>
      </c>
      <c r="E67" s="5">
        <f t="shared" si="16"/>
        <v>9295.5193132931527</v>
      </c>
      <c r="F67" s="5">
        <f t="shared" si="16"/>
        <v>2718.4413698630137</v>
      </c>
      <c r="G67" s="5">
        <f t="shared" si="14"/>
        <v>22282.876840317811</v>
      </c>
    </row>
    <row r="68" spans="1:9" x14ac:dyDescent="0.3">
      <c r="A68" s="315">
        <f t="shared" si="12"/>
        <v>46231</v>
      </c>
      <c r="B68" s="5">
        <f t="shared" si="16"/>
        <v>3832.1493471780823</v>
      </c>
      <c r="C68" s="5">
        <f t="shared" si="16"/>
        <v>3466.4634447780827</v>
      </c>
      <c r="D68" s="5">
        <f t="shared" si="16"/>
        <v>2970.3033652054801</v>
      </c>
      <c r="E68" s="5">
        <f t="shared" si="16"/>
        <v>9295.5193132931527</v>
      </c>
      <c r="F68" s="5">
        <f t="shared" si="16"/>
        <v>2718.4413698630137</v>
      </c>
      <c r="G68" s="5">
        <f t="shared" si="14"/>
        <v>22282.876840317811</v>
      </c>
    </row>
    <row r="69" spans="1:9" x14ac:dyDescent="0.3">
      <c r="A69" s="315">
        <f t="shared" si="12"/>
        <v>46232</v>
      </c>
      <c r="B69" s="5">
        <f t="shared" si="16"/>
        <v>3832.1493471780823</v>
      </c>
      <c r="C69" s="5">
        <f t="shared" si="16"/>
        <v>3466.4634447780827</v>
      </c>
      <c r="D69" s="5">
        <f t="shared" si="16"/>
        <v>2970.3033652054801</v>
      </c>
      <c r="E69" s="5">
        <f t="shared" si="16"/>
        <v>9295.5193132931527</v>
      </c>
      <c r="F69" s="5">
        <f t="shared" si="16"/>
        <v>2718.4413698630137</v>
      </c>
      <c r="G69" s="5">
        <f t="shared" si="14"/>
        <v>22282.876840317811</v>
      </c>
    </row>
    <row r="70" spans="1:9" x14ac:dyDescent="0.3">
      <c r="A70" s="315">
        <f t="shared" si="12"/>
        <v>46233</v>
      </c>
      <c r="B70" s="5">
        <f t="shared" si="16"/>
        <v>3832.1493471780823</v>
      </c>
      <c r="C70" s="5">
        <f t="shared" si="16"/>
        <v>3466.4634447780827</v>
      </c>
      <c r="D70" s="5">
        <f t="shared" si="16"/>
        <v>2970.3033652054801</v>
      </c>
      <c r="E70" s="5">
        <f t="shared" si="16"/>
        <v>9295.5193132931527</v>
      </c>
      <c r="F70" s="5">
        <f t="shared" si="16"/>
        <v>2718.4413698630137</v>
      </c>
      <c r="G70" s="5">
        <f t="shared" si="14"/>
        <v>22282.876840317811</v>
      </c>
    </row>
    <row r="71" spans="1:9" x14ac:dyDescent="0.3">
      <c r="A71" s="315">
        <f t="shared" ref="A71" si="17">A36</f>
        <v>46234</v>
      </c>
      <c r="B71" s="5">
        <f t="shared" ref="B71:F80" si="18">IF(B36&lt;0,0,B36*B$40/365)</f>
        <v>3832.1493471780823</v>
      </c>
      <c r="C71" s="5">
        <f t="shared" si="18"/>
        <v>3466.4634447780827</v>
      </c>
      <c r="D71" s="5">
        <f t="shared" si="18"/>
        <v>2970.3033652054801</v>
      </c>
      <c r="E71" s="5">
        <f t="shared" si="18"/>
        <v>9295.5193132931527</v>
      </c>
      <c r="F71" s="5">
        <f t="shared" si="18"/>
        <v>2718.4413698630137</v>
      </c>
      <c r="G71" s="5">
        <f t="shared" si="14"/>
        <v>22282.876840317811</v>
      </c>
    </row>
    <row r="72" spans="1:9" x14ac:dyDescent="0.3">
      <c r="A72" s="391" t="s">
        <v>14</v>
      </c>
      <c r="B72" s="10">
        <f>SUM(B41:B71)</f>
        <v>118796.62976252061</v>
      </c>
      <c r="C72" s="10">
        <f>SUM(C41:C71)</f>
        <v>107460.36678812061</v>
      </c>
      <c r="D72" s="10">
        <f>SUM(D41:D71)</f>
        <v>92079.404321369831</v>
      </c>
      <c r="E72" s="10">
        <f>SUM(E41:E71)</f>
        <v>288161.0987120879</v>
      </c>
      <c r="F72" s="10">
        <f>SUM(F41:F71)</f>
        <v>84271.682465753416</v>
      </c>
      <c r="G72" s="5">
        <f t="shared" si="14"/>
        <v>690769.18204985233</v>
      </c>
    </row>
    <row r="73" spans="1:9" x14ac:dyDescent="0.3">
      <c r="A73" s="320"/>
      <c r="B73" s="320"/>
      <c r="C73" s="320"/>
      <c r="D73" s="320"/>
      <c r="E73" s="320"/>
      <c r="F73" s="320"/>
      <c r="G73" s="320"/>
    </row>
    <row r="74" spans="1:9" x14ac:dyDescent="0.3">
      <c r="A74" s="319" t="s">
        <v>73</v>
      </c>
      <c r="B74" s="319"/>
      <c r="C74" s="319"/>
      <c r="D74" s="319"/>
      <c r="E74" s="319"/>
      <c r="F74" s="319"/>
      <c r="G74" s="319"/>
    </row>
    <row r="75" spans="1:9" s="75" customFormat="1" ht="55.95" customHeight="1" x14ac:dyDescent="0.25">
      <c r="A75" s="95" t="s">
        <v>18</v>
      </c>
      <c r="B75" s="46" t="str">
        <f>B5</f>
        <v>LD2605100021
C.D 20.02.2026, M.D 19.08.2026)</v>
      </c>
      <c r="C75" s="46" t="str">
        <f>C5</f>
        <v>LD2605100017
C.D 20.02.2026, M.D 19.08.2026)</v>
      </c>
      <c r="D75" s="46" t="str">
        <f>D5</f>
        <v>LD2616300020
C.D 12.06.2026, M.D 09.12.2026)</v>
      </c>
      <c r="E75" s="46" t="str">
        <f>E5</f>
        <v>LD2616300020/23/25/26/29/33/36
C.D 12.06.2026, M.D 09.12.2026)</v>
      </c>
      <c r="F75" s="46" t="str">
        <f>F5</f>
        <v>LD2617300004
C.D 22.06.2026, M.D 19.12.2026)</v>
      </c>
      <c r="G75" s="46" t="s">
        <v>0</v>
      </c>
    </row>
    <row r="76" spans="1:9" x14ac:dyDescent="0.3">
      <c r="A76" s="11" t="s">
        <v>15</v>
      </c>
      <c r="B76" s="572">
        <v>348725.59036306862</v>
      </c>
      <c r="C76" s="572">
        <v>315448.16852466873</v>
      </c>
      <c r="D76" s="572">
        <v>56435.763938904121</v>
      </c>
      <c r="E76" s="572">
        <v>176614.86695256998</v>
      </c>
      <c r="F76" s="572">
        <v>24465.972328767122</v>
      </c>
      <c r="G76" s="306">
        <f>SUM(B76:F76)</f>
        <v>921690.36210797867</v>
      </c>
      <c r="H76" s="1"/>
    </row>
    <row r="77" spans="1:9" x14ac:dyDescent="0.3">
      <c r="A77" s="11" t="s">
        <v>16</v>
      </c>
      <c r="B77" s="5">
        <f t="shared" ref="B77:E77" si="19">B72</f>
        <v>118796.62976252061</v>
      </c>
      <c r="C77" s="5">
        <f t="shared" si="19"/>
        <v>107460.36678812061</v>
      </c>
      <c r="D77" s="5">
        <f t="shared" si="19"/>
        <v>92079.404321369831</v>
      </c>
      <c r="E77" s="5">
        <f t="shared" si="19"/>
        <v>288161.0987120879</v>
      </c>
      <c r="F77" s="5">
        <f>F72</f>
        <v>84271.682465753416</v>
      </c>
      <c r="G77" s="306">
        <f>SUM(B77:F77)</f>
        <v>690769.18204985233</v>
      </c>
    </row>
    <row r="78" spans="1:9" x14ac:dyDescent="0.3">
      <c r="A78" s="11" t="s">
        <v>26</v>
      </c>
      <c r="B78" s="803"/>
      <c r="C78" s="803"/>
      <c r="D78" s="803"/>
      <c r="E78" s="803"/>
      <c r="F78" s="803"/>
      <c r="G78" s="306">
        <f>SUM(B78:F78)</f>
        <v>0</v>
      </c>
      <c r="H78" s="325"/>
      <c r="I78" s="34"/>
    </row>
    <row r="79" spans="1:9" x14ac:dyDescent="0.3">
      <c r="A79" s="11" t="s">
        <v>14</v>
      </c>
      <c r="B79" s="5">
        <f t="shared" ref="B79:E79" si="20">SUM(B76:B78)</f>
        <v>467522.22012558923</v>
      </c>
      <c r="C79" s="5">
        <f t="shared" si="20"/>
        <v>422908.53531278932</v>
      </c>
      <c r="D79" s="5">
        <f t="shared" si="20"/>
        <v>148515.16826027396</v>
      </c>
      <c r="E79" s="5">
        <f t="shared" si="20"/>
        <v>464775.96566465788</v>
      </c>
      <c r="F79" s="5">
        <f>SUM(F76:F78)</f>
        <v>108737.65479452054</v>
      </c>
      <c r="G79" s="306">
        <f>SUM(B79:F79)</f>
        <v>1612459.5441578308</v>
      </c>
    </row>
    <row r="80" spans="1:9" x14ac:dyDescent="0.3">
      <c r="A80" s="317"/>
      <c r="B80" s="317"/>
      <c r="C80" s="317"/>
      <c r="D80" s="317"/>
      <c r="E80" s="317"/>
      <c r="F80" s="317"/>
      <c r="G80" s="317"/>
    </row>
    <row r="81" spans="1:9" ht="17.399999999999999" x14ac:dyDescent="0.3">
      <c r="A81" s="12" t="s">
        <v>30</v>
      </c>
      <c r="B81" s="734"/>
      <c r="C81" s="734"/>
      <c r="D81" s="734"/>
      <c r="E81" s="734"/>
      <c r="F81" s="734"/>
      <c r="G81" s="353">
        <f>SUM(B81:F81)</f>
        <v>0</v>
      </c>
      <c r="H81" s="707"/>
      <c r="I81" s="708"/>
    </row>
    <row r="82" spans="1:9" x14ac:dyDescent="0.3">
      <c r="A82" s="318"/>
      <c r="B82" s="318"/>
      <c r="C82" s="318"/>
      <c r="D82" s="318"/>
      <c r="E82" s="318"/>
      <c r="F82" s="318"/>
      <c r="G82" s="318"/>
    </row>
    <row r="83" spans="1:9" x14ac:dyDescent="0.3">
      <c r="A83" s="12" t="s">
        <v>4</v>
      </c>
      <c r="B83" s="13"/>
      <c r="C83" s="13"/>
      <c r="D83" s="13"/>
      <c r="E83" s="13"/>
      <c r="F83" s="13"/>
      <c r="G83" s="13"/>
    </row>
    <row r="84" spans="1:9" x14ac:dyDescent="0.3">
      <c r="A84" s="318"/>
      <c r="B84" s="318"/>
      <c r="C84" s="318"/>
      <c r="D84" s="318"/>
      <c r="E84" s="318"/>
      <c r="F84" s="318"/>
      <c r="G84" s="318"/>
    </row>
    <row r="85" spans="1:9" x14ac:dyDescent="0.3">
      <c r="A85" s="28" t="s">
        <v>17</v>
      </c>
      <c r="B85" s="29">
        <f t="shared" ref="B85:E85" si="21">B72+B83+B78</f>
        <v>118796.62976252061</v>
      </c>
      <c r="C85" s="29">
        <f t="shared" si="21"/>
        <v>107460.36678812061</v>
      </c>
      <c r="D85" s="29">
        <f t="shared" si="21"/>
        <v>92079.404321369831</v>
      </c>
      <c r="E85" s="29">
        <f t="shared" si="21"/>
        <v>288161.0987120879</v>
      </c>
      <c r="F85" s="29">
        <f>F72+F83+F78</f>
        <v>84271.682465753416</v>
      </c>
      <c r="G85" s="29">
        <f>SUM(B85:F85)</f>
        <v>690769.18204985233</v>
      </c>
    </row>
    <row r="86" spans="1:9" x14ac:dyDescent="0.3">
      <c r="A86" s="318"/>
      <c r="B86" s="318"/>
      <c r="C86" s="318"/>
      <c r="D86" s="318"/>
      <c r="E86" s="318"/>
      <c r="F86" s="318"/>
      <c r="G86" s="318"/>
    </row>
    <row r="87" spans="1:9" x14ac:dyDescent="0.3">
      <c r="A87" s="99" t="s">
        <v>31</v>
      </c>
      <c r="B87" s="98">
        <f t="shared" ref="B87:E87" si="22">B79+B83-B81</f>
        <v>467522.22012558923</v>
      </c>
      <c r="C87" s="98">
        <f t="shared" si="22"/>
        <v>422908.53531278932</v>
      </c>
      <c r="D87" s="98">
        <f t="shared" si="22"/>
        <v>148515.16826027396</v>
      </c>
      <c r="E87" s="98">
        <f t="shared" si="22"/>
        <v>464775.96566465788</v>
      </c>
      <c r="F87" s="98">
        <f>F79+F83-F81</f>
        <v>108737.65479452054</v>
      </c>
      <c r="G87" s="98">
        <f>G79+G83-G81</f>
        <v>1612459.5441578308</v>
      </c>
    </row>
    <row r="88" spans="1:9" x14ac:dyDescent="0.3">
      <c r="A88" s="322" t="s">
        <v>254</v>
      </c>
      <c r="B88" s="321">
        <v>30000865</v>
      </c>
      <c r="C88" s="321">
        <v>30000865</v>
      </c>
      <c r="D88" s="867">
        <v>30000902</v>
      </c>
      <c r="E88" s="867">
        <v>30000902</v>
      </c>
      <c r="F88" s="399">
        <v>30000912</v>
      </c>
    </row>
    <row r="89" spans="1:9" x14ac:dyDescent="0.3">
      <c r="A89" s="3" t="s">
        <v>50</v>
      </c>
      <c r="G89" s="2"/>
    </row>
    <row r="90" spans="1:9" x14ac:dyDescent="0.3">
      <c r="A90" s="318" t="s">
        <v>265</v>
      </c>
      <c r="B90" s="322">
        <v>9200000041</v>
      </c>
      <c r="G90" s="2"/>
    </row>
    <row r="91" spans="1:9" x14ac:dyDescent="0.3">
      <c r="A91" s="318" t="s">
        <v>266</v>
      </c>
      <c r="B91" s="322">
        <v>40000034</v>
      </c>
    </row>
    <row r="94" spans="1:9" x14ac:dyDescent="0.3">
      <c r="B94" s="325"/>
      <c r="C94" s="325"/>
      <c r="D94" s="325"/>
      <c r="E94" s="325"/>
      <c r="F94" s="325"/>
    </row>
    <row r="95" spans="1:9" x14ac:dyDescent="0.3">
      <c r="B95" s="325"/>
      <c r="C95" s="325"/>
      <c r="D95" s="325"/>
      <c r="E95" s="325"/>
      <c r="F95" s="325"/>
    </row>
    <row r="96" spans="1:9" x14ac:dyDescent="0.3">
      <c r="B96" s="325"/>
      <c r="C96" s="325"/>
      <c r="D96" s="325"/>
      <c r="E96" s="325"/>
      <c r="F96" s="325"/>
    </row>
    <row r="97" spans="2:6" x14ac:dyDescent="0.3">
      <c r="B97" s="325"/>
      <c r="C97" s="325"/>
      <c r="D97" s="325"/>
      <c r="E97" s="325"/>
      <c r="F97" s="325"/>
    </row>
    <row r="98" spans="2:6" x14ac:dyDescent="0.3">
      <c r="B98" s="325"/>
      <c r="C98" s="325"/>
      <c r="D98" s="325"/>
      <c r="E98" s="325"/>
      <c r="F98" s="325"/>
    </row>
    <row r="99" spans="2:6" x14ac:dyDescent="0.3">
      <c r="B99" s="325"/>
      <c r="C99" s="325"/>
      <c r="D99" s="325"/>
      <c r="E99" s="325"/>
      <c r="F99" s="325"/>
    </row>
    <row r="100" spans="2:6" x14ac:dyDescent="0.3">
      <c r="B100" s="325"/>
      <c r="C100" s="325"/>
      <c r="D100" s="325"/>
      <c r="E100" s="325"/>
      <c r="F100" s="325"/>
    </row>
  </sheetData>
  <printOptions horizontalCentered="1" verticalCentered="1"/>
  <pageMargins left="0.23622047244094491" right="0.23622047244094491" top="0.51181102362204722" bottom="0.51181102362204722" header="0.51181102362204722" footer="0.51181102362204722"/>
  <pageSetup scale="49"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6A8F-522F-4698-8EB0-641048769E70}">
  <sheetPr codeName="Sheet6">
    <tabColor theme="0"/>
    <pageSetUpPr fitToPage="1"/>
  </sheetPr>
  <dimension ref="A1:M49"/>
  <sheetViews>
    <sheetView showGridLines="0" view="pageBreakPreview" topLeftCell="A25" zoomScaleNormal="100" zoomScaleSheetLayoutView="100" workbookViewId="0">
      <selection activeCell="J41" sqref="J41"/>
    </sheetView>
  </sheetViews>
  <sheetFormatPr defaultColWidth="10.6328125" defaultRowHeight="13.8" x14ac:dyDescent="0.3"/>
  <cols>
    <col min="1" max="1" width="9.6328125" style="3" customWidth="1"/>
    <col min="2" max="2" width="12.81640625" style="2" customWidth="1"/>
    <col min="3" max="3" width="11.81640625" style="2" bestFit="1" customWidth="1"/>
    <col min="4" max="4" width="11" style="2" customWidth="1"/>
    <col min="5" max="5" width="12" style="2" customWidth="1"/>
    <col min="6" max="6" width="0.90625" style="3" customWidth="1"/>
    <col min="7" max="7" width="7.453125" style="3" customWidth="1"/>
    <col min="8" max="8" width="8.6328125" style="331" customWidth="1"/>
    <col min="9" max="9" width="7.7265625" style="3" customWidth="1"/>
    <col min="10" max="10" width="11.08984375" style="3" customWidth="1"/>
    <col min="11" max="11" width="13.08984375" style="331" bestFit="1" customWidth="1"/>
    <col min="12" max="12" width="11" style="3" bestFit="1" customWidth="1"/>
    <col min="13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161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355">
        <v>179703736.31</v>
      </c>
      <c r="M3" s="34"/>
    </row>
    <row r="4" spans="1:13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62" t="s">
        <v>168</v>
      </c>
      <c r="H4" s="976" t="s">
        <v>53</v>
      </c>
      <c r="I4" s="976" t="s">
        <v>169</v>
      </c>
      <c r="J4" s="971" t="s">
        <v>170</v>
      </c>
    </row>
    <row r="5" spans="1:13" x14ac:dyDescent="0.3">
      <c r="A5" s="958"/>
      <c r="B5" s="961"/>
      <c r="C5" s="67" t="s">
        <v>7</v>
      </c>
      <c r="D5" s="67" t="s">
        <v>8</v>
      </c>
      <c r="E5" s="960"/>
      <c r="G5" s="963"/>
      <c r="H5" s="977"/>
      <c r="I5" s="977"/>
      <c r="J5" s="972"/>
    </row>
    <row r="6" spans="1:13" x14ac:dyDescent="0.3">
      <c r="A6" s="603">
        <v>46204</v>
      </c>
      <c r="B6" s="863">
        <v>0</v>
      </c>
      <c r="C6" s="604"/>
      <c r="D6" s="584"/>
      <c r="E6" s="381">
        <f>SUM(B6:D6)</f>
        <v>0</v>
      </c>
      <c r="F6" s="331"/>
      <c r="G6" s="382">
        <v>0.01</v>
      </c>
      <c r="H6" s="336">
        <v>0.1149</v>
      </c>
      <c r="I6" s="383">
        <f>+H6+G6</f>
        <v>0.1249</v>
      </c>
      <c r="J6" s="385">
        <f>IF(E6&lt;0,0,E6*I6/365)</f>
        <v>0</v>
      </c>
      <c r="K6" s="332">
        <f>+E6-K3</f>
        <v>-179703736.31</v>
      </c>
    </row>
    <row r="7" spans="1:13" x14ac:dyDescent="0.3">
      <c r="A7" s="603">
        <f>+A6+1</f>
        <v>46205</v>
      </c>
      <c r="B7" s="1017">
        <v>11776877.69</v>
      </c>
      <c r="C7" s="596"/>
      <c r="D7" s="584"/>
      <c r="E7" s="381">
        <f t="shared" ref="E7:E32" si="0">SUM(B7:D7)</f>
        <v>0</v>
      </c>
      <c r="F7" s="331"/>
      <c r="G7" s="382">
        <v>0.01</v>
      </c>
      <c r="H7" s="336">
        <v>0.1149</v>
      </c>
      <c r="I7" s="383">
        <f>+H7+G7</f>
        <v>0.1249</v>
      </c>
      <c r="J7" s="385">
        <f t="shared" ref="J7:J32" si="1">IF(E7&lt;0,0,E7*I7/365)</f>
        <v>0</v>
      </c>
      <c r="K7" s="332">
        <f>+E7-E6</f>
        <v>0</v>
      </c>
    </row>
    <row r="8" spans="1:13" x14ac:dyDescent="0.3">
      <c r="A8" s="603">
        <f t="shared" ref="A8:A36" si="2">+A7+1</f>
        <v>46206</v>
      </c>
      <c r="B8" s="1017">
        <v>4259112.54</v>
      </c>
      <c r="C8" s="332"/>
      <c r="D8" s="584"/>
      <c r="E8" s="381">
        <f>SUM(B8:D8)</f>
        <v>0</v>
      </c>
      <c r="F8" s="331"/>
      <c r="G8" s="382">
        <v>0.01</v>
      </c>
      <c r="H8" s="336">
        <v>0.1149</v>
      </c>
      <c r="I8" s="383">
        <f t="shared" ref="I8:I31" si="3">+H8+G8</f>
        <v>0.1249</v>
      </c>
      <c r="J8" s="385">
        <f t="shared" si="1"/>
        <v>0</v>
      </c>
      <c r="K8" s="332">
        <f t="shared" ref="K8:K31" si="4">+E8-E7</f>
        <v>0</v>
      </c>
    </row>
    <row r="9" spans="1:13" x14ac:dyDescent="0.3">
      <c r="A9" s="603">
        <f t="shared" si="2"/>
        <v>46207</v>
      </c>
      <c r="B9" s="1017">
        <v>4259112.54</v>
      </c>
      <c r="C9" s="813"/>
      <c r="D9" s="584"/>
      <c r="E9" s="381">
        <f>SUM(B9:D9)</f>
        <v>0</v>
      </c>
      <c r="F9" s="331"/>
      <c r="G9" s="382">
        <v>0.01</v>
      </c>
      <c r="H9" s="336">
        <v>0.1149</v>
      </c>
      <c r="I9" s="383">
        <f t="shared" si="3"/>
        <v>0.1249</v>
      </c>
      <c r="J9" s="385">
        <f t="shared" si="1"/>
        <v>0</v>
      </c>
      <c r="K9" s="332">
        <f t="shared" si="4"/>
        <v>0</v>
      </c>
    </row>
    <row r="10" spans="1:13" x14ac:dyDescent="0.3">
      <c r="A10" s="603">
        <f t="shared" si="2"/>
        <v>46208</v>
      </c>
      <c r="B10" s="1017">
        <v>4259112.54</v>
      </c>
      <c r="C10" s="715"/>
      <c r="D10" s="414"/>
      <c r="E10" s="381">
        <f t="shared" si="0"/>
        <v>0</v>
      </c>
      <c r="F10" s="331"/>
      <c r="G10" s="382">
        <v>0.01</v>
      </c>
      <c r="H10" s="336">
        <v>0.1149</v>
      </c>
      <c r="I10" s="383">
        <f t="shared" si="3"/>
        <v>0.1249</v>
      </c>
      <c r="J10" s="385">
        <f t="shared" si="1"/>
        <v>0</v>
      </c>
      <c r="K10" s="332">
        <f t="shared" si="4"/>
        <v>0</v>
      </c>
    </row>
    <row r="11" spans="1:13" x14ac:dyDescent="0.3">
      <c r="A11" s="603">
        <f t="shared" si="2"/>
        <v>46209</v>
      </c>
      <c r="B11" s="1017">
        <v>4259112.54</v>
      </c>
      <c r="C11" s="715"/>
      <c r="D11" s="414"/>
      <c r="E11" s="381">
        <f>SUM(B11:D11)</f>
        <v>0</v>
      </c>
      <c r="F11" s="331"/>
      <c r="G11" s="382">
        <v>0.01</v>
      </c>
      <c r="H11" s="336">
        <v>0.1149</v>
      </c>
      <c r="I11" s="383">
        <f t="shared" si="3"/>
        <v>0.1249</v>
      </c>
      <c r="J11" s="385">
        <f t="shared" si="1"/>
        <v>0</v>
      </c>
      <c r="K11" s="332">
        <f t="shared" si="4"/>
        <v>0</v>
      </c>
    </row>
    <row r="12" spans="1:13" x14ac:dyDescent="0.3">
      <c r="A12" s="603">
        <f t="shared" si="2"/>
        <v>46210</v>
      </c>
      <c r="B12" s="863">
        <v>0</v>
      </c>
      <c r="C12" s="715"/>
      <c r="D12" s="414"/>
      <c r="E12" s="381">
        <f t="shared" si="0"/>
        <v>0</v>
      </c>
      <c r="F12" s="331"/>
      <c r="G12" s="382">
        <v>0.01</v>
      </c>
      <c r="H12" s="336">
        <v>0.1149</v>
      </c>
      <c r="I12" s="383">
        <f t="shared" si="3"/>
        <v>0.1249</v>
      </c>
      <c r="J12" s="385">
        <f t="shared" si="1"/>
        <v>0</v>
      </c>
      <c r="K12" s="332">
        <f t="shared" si="4"/>
        <v>0</v>
      </c>
    </row>
    <row r="13" spans="1:13" x14ac:dyDescent="0.3">
      <c r="A13" s="603">
        <f t="shared" si="2"/>
        <v>46211</v>
      </c>
      <c r="B13" s="863">
        <v>0</v>
      </c>
      <c r="C13" s="414"/>
      <c r="D13" s="381"/>
      <c r="E13" s="381">
        <f t="shared" si="0"/>
        <v>0</v>
      </c>
      <c r="F13" s="331"/>
      <c r="G13" s="382">
        <v>0.01</v>
      </c>
      <c r="H13" s="336">
        <v>0.1149</v>
      </c>
      <c r="I13" s="383">
        <f t="shared" si="3"/>
        <v>0.1249</v>
      </c>
      <c r="J13" s="385">
        <f t="shared" si="1"/>
        <v>0</v>
      </c>
      <c r="K13" s="332">
        <f t="shared" si="4"/>
        <v>0</v>
      </c>
      <c r="L13" s="34"/>
    </row>
    <row r="14" spans="1:13" x14ac:dyDescent="0.3">
      <c r="A14" s="603">
        <f t="shared" si="2"/>
        <v>46212</v>
      </c>
      <c r="B14" s="863">
        <v>0</v>
      </c>
      <c r="C14" s="414"/>
      <c r="D14" s="381"/>
      <c r="E14" s="381">
        <f t="shared" si="0"/>
        <v>0</v>
      </c>
      <c r="F14" s="331"/>
      <c r="G14" s="382">
        <v>0.01</v>
      </c>
      <c r="H14" s="336">
        <v>0.1149</v>
      </c>
      <c r="I14" s="383">
        <f t="shared" si="3"/>
        <v>0.1249</v>
      </c>
      <c r="J14" s="385">
        <f t="shared" si="1"/>
        <v>0</v>
      </c>
      <c r="K14" s="332">
        <f t="shared" si="4"/>
        <v>0</v>
      </c>
    </row>
    <row r="15" spans="1:13" x14ac:dyDescent="0.3">
      <c r="A15" s="315">
        <f t="shared" si="2"/>
        <v>46213</v>
      </c>
      <c r="B15" s="863">
        <v>0</v>
      </c>
      <c r="C15" s="414"/>
      <c r="D15" s="381"/>
      <c r="E15" s="381">
        <f t="shared" si="0"/>
        <v>0</v>
      </c>
      <c r="F15" s="331"/>
      <c r="G15" s="382">
        <v>0.01</v>
      </c>
      <c r="H15" s="336">
        <v>0.1149</v>
      </c>
      <c r="I15" s="383">
        <f t="shared" si="3"/>
        <v>0.1249</v>
      </c>
      <c r="J15" s="385">
        <f t="shared" si="1"/>
        <v>0</v>
      </c>
      <c r="K15" s="332">
        <f t="shared" si="4"/>
        <v>0</v>
      </c>
    </row>
    <row r="16" spans="1:13" x14ac:dyDescent="0.3">
      <c r="A16" s="315">
        <f t="shared" si="2"/>
        <v>46214</v>
      </c>
      <c r="B16" s="863">
        <v>0</v>
      </c>
      <c r="C16" s="414"/>
      <c r="D16" s="381"/>
      <c r="E16" s="381">
        <f t="shared" si="0"/>
        <v>0</v>
      </c>
      <c r="F16" s="331"/>
      <c r="G16" s="382">
        <v>0.01</v>
      </c>
      <c r="H16" s="336">
        <v>0.1149</v>
      </c>
      <c r="I16" s="383">
        <f t="shared" si="3"/>
        <v>0.1249</v>
      </c>
      <c r="J16" s="385">
        <f t="shared" si="1"/>
        <v>0</v>
      </c>
      <c r="K16" s="332">
        <f t="shared" si="4"/>
        <v>0</v>
      </c>
    </row>
    <row r="17" spans="1:13" x14ac:dyDescent="0.3">
      <c r="A17" s="315">
        <f t="shared" si="2"/>
        <v>46215</v>
      </c>
      <c r="B17" s="863">
        <v>0</v>
      </c>
      <c r="C17" s="381"/>
      <c r="D17" s="381"/>
      <c r="E17" s="381">
        <f t="shared" si="0"/>
        <v>0</v>
      </c>
      <c r="F17" s="331"/>
      <c r="G17" s="382">
        <v>0.01</v>
      </c>
      <c r="H17" s="336">
        <v>0.1149</v>
      </c>
      <c r="I17" s="383">
        <f t="shared" si="3"/>
        <v>0.1249</v>
      </c>
      <c r="J17" s="385">
        <f t="shared" si="1"/>
        <v>0</v>
      </c>
      <c r="K17" s="332">
        <f t="shared" si="4"/>
        <v>0</v>
      </c>
    </row>
    <row r="18" spans="1:13" x14ac:dyDescent="0.3">
      <c r="A18" s="315">
        <f t="shared" si="2"/>
        <v>46216</v>
      </c>
      <c r="B18" s="863">
        <v>0</v>
      </c>
      <c r="C18" s="381"/>
      <c r="D18" s="381"/>
      <c r="E18" s="381">
        <f t="shared" si="0"/>
        <v>0</v>
      </c>
      <c r="F18" s="331"/>
      <c r="G18" s="382">
        <v>0.01</v>
      </c>
      <c r="H18" s="336">
        <v>0.1149</v>
      </c>
      <c r="I18" s="383">
        <f t="shared" si="3"/>
        <v>0.1249</v>
      </c>
      <c r="J18" s="385">
        <f t="shared" si="1"/>
        <v>0</v>
      </c>
      <c r="K18" s="332">
        <f t="shared" si="4"/>
        <v>0</v>
      </c>
    </row>
    <row r="19" spans="1:13" x14ac:dyDescent="0.3">
      <c r="A19" s="315">
        <f t="shared" si="2"/>
        <v>46217</v>
      </c>
      <c r="B19" s="863">
        <v>0</v>
      </c>
      <c r="C19" s="381"/>
      <c r="D19" s="381"/>
      <c r="E19" s="381">
        <f t="shared" si="0"/>
        <v>0</v>
      </c>
      <c r="F19" s="331"/>
      <c r="G19" s="382">
        <v>0.01</v>
      </c>
      <c r="H19" s="336">
        <v>0.1149</v>
      </c>
      <c r="I19" s="383">
        <f t="shared" si="3"/>
        <v>0.1249</v>
      </c>
      <c r="J19" s="385">
        <f t="shared" si="1"/>
        <v>0</v>
      </c>
      <c r="K19" s="332">
        <f t="shared" si="4"/>
        <v>0</v>
      </c>
    </row>
    <row r="20" spans="1:13" x14ac:dyDescent="0.3">
      <c r="A20" s="315">
        <f t="shared" si="2"/>
        <v>46218</v>
      </c>
      <c r="B20" s="863">
        <v>0</v>
      </c>
      <c r="C20" s="585"/>
      <c r="D20" s="381"/>
      <c r="E20" s="381">
        <f t="shared" si="0"/>
        <v>0</v>
      </c>
      <c r="F20" s="331"/>
      <c r="G20" s="382">
        <v>0.01</v>
      </c>
      <c r="H20" s="336">
        <v>0.1149</v>
      </c>
      <c r="I20" s="383">
        <f t="shared" si="3"/>
        <v>0.1249</v>
      </c>
      <c r="J20" s="385">
        <f t="shared" si="1"/>
        <v>0</v>
      </c>
      <c r="K20" s="332">
        <f t="shared" si="4"/>
        <v>0</v>
      </c>
    </row>
    <row r="21" spans="1:13" x14ac:dyDescent="0.3">
      <c r="A21" s="315">
        <f t="shared" si="2"/>
        <v>46219</v>
      </c>
      <c r="B21" s="863">
        <v>0</v>
      </c>
      <c r="C21" s="330"/>
      <c r="D21" s="414"/>
      <c r="E21" s="381">
        <f>SUM(B21:D21)</f>
        <v>0</v>
      </c>
      <c r="F21" s="331"/>
      <c r="G21" s="382">
        <v>0.01</v>
      </c>
      <c r="H21" s="336">
        <v>0.1149</v>
      </c>
      <c r="I21" s="383">
        <f t="shared" si="3"/>
        <v>0.1249</v>
      </c>
      <c r="J21" s="385">
        <f t="shared" si="1"/>
        <v>0</v>
      </c>
      <c r="K21" s="332">
        <f t="shared" si="4"/>
        <v>0</v>
      </c>
    </row>
    <row r="22" spans="1:13" x14ac:dyDescent="0.3">
      <c r="A22" s="315">
        <f t="shared" si="2"/>
        <v>46220</v>
      </c>
      <c r="B22" s="863">
        <v>0</v>
      </c>
      <c r="C22" s="381"/>
      <c r="D22" s="381"/>
      <c r="E22" s="381">
        <f t="shared" si="0"/>
        <v>0</v>
      </c>
      <c r="F22" s="331"/>
      <c r="G22" s="382">
        <v>0.01</v>
      </c>
      <c r="H22" s="336">
        <v>0.1149</v>
      </c>
      <c r="I22" s="383">
        <f t="shared" si="3"/>
        <v>0.1249</v>
      </c>
      <c r="J22" s="385">
        <f t="shared" si="1"/>
        <v>0</v>
      </c>
      <c r="K22" s="332">
        <f t="shared" si="4"/>
        <v>0</v>
      </c>
    </row>
    <row r="23" spans="1:13" x14ac:dyDescent="0.3">
      <c r="A23" s="315">
        <f t="shared" si="2"/>
        <v>46221</v>
      </c>
      <c r="B23" s="863">
        <v>0</v>
      </c>
      <c r="C23" s="414"/>
      <c r="D23" s="381"/>
      <c r="E23" s="381">
        <f t="shared" si="0"/>
        <v>0</v>
      </c>
      <c r="F23" s="331"/>
      <c r="G23" s="382">
        <v>0.01</v>
      </c>
      <c r="H23" s="336">
        <v>0.1149</v>
      </c>
      <c r="I23" s="383">
        <f t="shared" si="3"/>
        <v>0.1249</v>
      </c>
      <c r="J23" s="385">
        <f t="shared" si="1"/>
        <v>0</v>
      </c>
      <c r="K23" s="332">
        <f t="shared" si="4"/>
        <v>0</v>
      </c>
    </row>
    <row r="24" spans="1:13" x14ac:dyDescent="0.3">
      <c r="A24" s="315">
        <f t="shared" si="2"/>
        <v>46222</v>
      </c>
      <c r="B24" s="863">
        <v>0</v>
      </c>
      <c r="C24" s="381"/>
      <c r="D24" s="381"/>
      <c r="E24" s="381">
        <f t="shared" si="0"/>
        <v>0</v>
      </c>
      <c r="F24" s="331"/>
      <c r="G24" s="382">
        <v>0.01</v>
      </c>
      <c r="H24" s="336">
        <v>0.1149</v>
      </c>
      <c r="I24" s="383">
        <f t="shared" si="3"/>
        <v>0.1249</v>
      </c>
      <c r="J24" s="385">
        <f t="shared" si="1"/>
        <v>0</v>
      </c>
      <c r="K24" s="332">
        <f t="shared" si="4"/>
        <v>0</v>
      </c>
      <c r="L24" s="34"/>
    </row>
    <row r="25" spans="1:13" ht="13.2" customHeight="1" x14ac:dyDescent="0.3">
      <c r="A25" s="315">
        <f t="shared" si="2"/>
        <v>46223</v>
      </c>
      <c r="B25" s="863">
        <v>0</v>
      </c>
      <c r="C25" s="381"/>
      <c r="D25" s="381"/>
      <c r="E25" s="381">
        <f t="shared" si="0"/>
        <v>0</v>
      </c>
      <c r="F25" s="331"/>
      <c r="G25" s="382">
        <v>0.01</v>
      </c>
      <c r="H25" s="336">
        <v>0.1149</v>
      </c>
      <c r="I25" s="383">
        <f t="shared" si="3"/>
        <v>0.1249</v>
      </c>
      <c r="J25" s="385">
        <f t="shared" si="1"/>
        <v>0</v>
      </c>
      <c r="K25" s="332">
        <f t="shared" si="4"/>
        <v>0</v>
      </c>
      <c r="M25" s="34"/>
    </row>
    <row r="26" spans="1:13" x14ac:dyDescent="0.3">
      <c r="A26" s="315">
        <f t="shared" si="2"/>
        <v>46224</v>
      </c>
      <c r="B26" s="863">
        <v>0</v>
      </c>
      <c r="C26" s="381"/>
      <c r="D26" s="381"/>
      <c r="E26" s="381">
        <f t="shared" si="0"/>
        <v>0</v>
      </c>
      <c r="F26" s="331"/>
      <c r="G26" s="382">
        <v>0.01</v>
      </c>
      <c r="H26" s="336">
        <v>0.1149</v>
      </c>
      <c r="I26" s="383">
        <f t="shared" si="3"/>
        <v>0.1249</v>
      </c>
      <c r="J26" s="385">
        <f t="shared" si="1"/>
        <v>0</v>
      </c>
      <c r="K26" s="332">
        <f t="shared" si="4"/>
        <v>0</v>
      </c>
    </row>
    <row r="27" spans="1:13" x14ac:dyDescent="0.3">
      <c r="A27" s="315">
        <f t="shared" si="2"/>
        <v>46225</v>
      </c>
      <c r="B27" s="863">
        <v>0</v>
      </c>
      <c r="C27" s="381"/>
      <c r="D27" s="381"/>
      <c r="E27" s="381">
        <f t="shared" si="0"/>
        <v>0</v>
      </c>
      <c r="F27" s="331"/>
      <c r="G27" s="382">
        <v>0.01</v>
      </c>
      <c r="H27" s="336">
        <v>0.1149</v>
      </c>
      <c r="I27" s="383">
        <f t="shared" si="3"/>
        <v>0.1249</v>
      </c>
      <c r="J27" s="385">
        <f t="shared" si="1"/>
        <v>0</v>
      </c>
      <c r="K27" s="332">
        <f t="shared" si="4"/>
        <v>0</v>
      </c>
    </row>
    <row r="28" spans="1:13" x14ac:dyDescent="0.3">
      <c r="A28" s="315">
        <f t="shared" si="2"/>
        <v>46226</v>
      </c>
      <c r="B28" s="863">
        <v>0</v>
      </c>
      <c r="C28" s="381"/>
      <c r="D28" s="381"/>
      <c r="E28" s="381">
        <f t="shared" si="0"/>
        <v>0</v>
      </c>
      <c r="F28" s="331"/>
      <c r="G28" s="382">
        <v>0.01</v>
      </c>
      <c r="H28" s="336">
        <v>0.1149</v>
      </c>
      <c r="I28" s="383">
        <f t="shared" si="3"/>
        <v>0.1249</v>
      </c>
      <c r="J28" s="385">
        <f t="shared" si="1"/>
        <v>0</v>
      </c>
      <c r="K28" s="332">
        <f t="shared" si="4"/>
        <v>0</v>
      </c>
      <c r="L28" s="34"/>
      <c r="M28" s="325"/>
    </row>
    <row r="29" spans="1:13" x14ac:dyDescent="0.3">
      <c r="A29" s="315">
        <f t="shared" si="2"/>
        <v>46227</v>
      </c>
      <c r="B29" s="863">
        <v>0</v>
      </c>
      <c r="C29" s="381"/>
      <c r="D29" s="381"/>
      <c r="E29" s="381">
        <f t="shared" si="0"/>
        <v>0</v>
      </c>
      <c r="F29" s="331"/>
      <c r="G29" s="382">
        <v>0.01</v>
      </c>
      <c r="H29" s="336">
        <v>0.1149</v>
      </c>
      <c r="I29" s="383">
        <f t="shared" si="3"/>
        <v>0.1249</v>
      </c>
      <c r="J29" s="385">
        <f t="shared" si="1"/>
        <v>0</v>
      </c>
      <c r="K29" s="378">
        <f>+E29-E28</f>
        <v>0</v>
      </c>
    </row>
    <row r="30" spans="1:13" x14ac:dyDescent="0.3">
      <c r="A30" s="315">
        <f t="shared" si="2"/>
        <v>46228</v>
      </c>
      <c r="B30" s="863">
        <v>0</v>
      </c>
      <c r="C30" s="381"/>
      <c r="D30" s="381"/>
      <c r="E30" s="381">
        <f t="shared" si="0"/>
        <v>0</v>
      </c>
      <c r="F30" s="331"/>
      <c r="G30" s="382">
        <v>0.01</v>
      </c>
      <c r="H30" s="336">
        <v>0.1149</v>
      </c>
      <c r="I30" s="383">
        <f t="shared" si="3"/>
        <v>0.1249</v>
      </c>
      <c r="J30" s="385">
        <f t="shared" si="1"/>
        <v>0</v>
      </c>
      <c r="K30" s="378">
        <f t="shared" si="4"/>
        <v>0</v>
      </c>
    </row>
    <row r="31" spans="1:13" x14ac:dyDescent="0.3">
      <c r="A31" s="315">
        <f t="shared" si="2"/>
        <v>46229</v>
      </c>
      <c r="B31" s="863">
        <v>0</v>
      </c>
      <c r="C31" s="381"/>
      <c r="D31" s="381"/>
      <c r="E31" s="381">
        <f t="shared" si="0"/>
        <v>0</v>
      </c>
      <c r="F31" s="331"/>
      <c r="G31" s="382">
        <v>0.01</v>
      </c>
      <c r="H31" s="336">
        <v>0.1149</v>
      </c>
      <c r="I31" s="383">
        <f t="shared" si="3"/>
        <v>0.1249</v>
      </c>
      <c r="J31" s="385">
        <f>IF(E31&lt;0,0,E31*I31/365)</f>
        <v>0</v>
      </c>
      <c r="K31" s="378">
        <f t="shared" si="4"/>
        <v>0</v>
      </c>
    </row>
    <row r="32" spans="1:13" x14ac:dyDescent="0.3">
      <c r="A32" s="315">
        <f t="shared" si="2"/>
        <v>46230</v>
      </c>
      <c r="B32" s="863">
        <v>0</v>
      </c>
      <c r="C32" s="381"/>
      <c r="D32" s="381"/>
      <c r="E32" s="381">
        <f t="shared" si="0"/>
        <v>0</v>
      </c>
      <c r="F32" s="331"/>
      <c r="G32" s="382">
        <v>0.01</v>
      </c>
      <c r="H32" s="336">
        <v>0.1149</v>
      </c>
      <c r="I32" s="383">
        <f>+H32+G32</f>
        <v>0.1249</v>
      </c>
      <c r="J32" s="385">
        <f t="shared" si="1"/>
        <v>0</v>
      </c>
      <c r="K32" s="378">
        <f>+E32-E31</f>
        <v>0</v>
      </c>
    </row>
    <row r="33" spans="1:13" x14ac:dyDescent="0.3">
      <c r="A33" s="315">
        <f t="shared" si="2"/>
        <v>46231</v>
      </c>
      <c r="B33" s="863">
        <v>0</v>
      </c>
      <c r="C33" s="381"/>
      <c r="D33" s="381"/>
      <c r="E33" s="381">
        <f>SUM(B33:D33)</f>
        <v>0</v>
      </c>
      <c r="F33" s="331"/>
      <c r="G33" s="382">
        <v>0.01</v>
      </c>
      <c r="H33" s="336">
        <v>0.1149</v>
      </c>
      <c r="I33" s="383">
        <f>+H33+G33</f>
        <v>0.1249</v>
      </c>
      <c r="J33" s="385">
        <f>IF(E33&lt;0,0,E33*I33/365)</f>
        <v>0</v>
      </c>
      <c r="K33" s="378">
        <f>+E33-E32</f>
        <v>0</v>
      </c>
    </row>
    <row r="34" spans="1:13" x14ac:dyDescent="0.3">
      <c r="A34" s="315">
        <f t="shared" si="2"/>
        <v>46232</v>
      </c>
      <c r="B34" s="863">
        <v>0</v>
      </c>
      <c r="C34" s="381"/>
      <c r="D34" s="381"/>
      <c r="E34" s="381">
        <f>SUM(B34:D34)</f>
        <v>0</v>
      </c>
      <c r="F34" s="331"/>
      <c r="G34" s="382">
        <v>0.01</v>
      </c>
      <c r="H34" s="336">
        <v>0.1149</v>
      </c>
      <c r="I34" s="383">
        <f>+H34+G34</f>
        <v>0.1249</v>
      </c>
      <c r="J34" s="385">
        <f>IF(E34&lt;0,0,E34*I34/365)</f>
        <v>0</v>
      </c>
      <c r="K34" s="378">
        <f>+E34-E33</f>
        <v>0</v>
      </c>
    </row>
    <row r="35" spans="1:13" x14ac:dyDescent="0.3">
      <c r="A35" s="315">
        <f t="shared" si="2"/>
        <v>46233</v>
      </c>
      <c r="B35" s="863">
        <v>0</v>
      </c>
      <c r="C35" s="381"/>
      <c r="D35" s="381"/>
      <c r="E35" s="381">
        <f>SUM(B35:D35)</f>
        <v>0</v>
      </c>
      <c r="F35" s="331"/>
      <c r="G35" s="382">
        <v>0.01</v>
      </c>
      <c r="H35" s="336">
        <v>0.1149</v>
      </c>
      <c r="I35" s="383">
        <f>+H35+G35</f>
        <v>0.1249</v>
      </c>
      <c r="J35" s="385">
        <f>IF(E35&lt;0,0,E35*I35/365)</f>
        <v>0</v>
      </c>
      <c r="K35" s="378">
        <f>+E35-E34</f>
        <v>0</v>
      </c>
    </row>
    <row r="36" spans="1:13" x14ac:dyDescent="0.3">
      <c r="A36" s="315">
        <f t="shared" si="2"/>
        <v>46234</v>
      </c>
      <c r="B36" s="863">
        <v>0</v>
      </c>
      <c r="C36" s="381"/>
      <c r="D36" s="381"/>
      <c r="E36" s="381">
        <f>SUM(B36:D36)</f>
        <v>0</v>
      </c>
      <c r="F36" s="331"/>
      <c r="G36" s="382">
        <v>0.01</v>
      </c>
      <c r="H36" s="336">
        <v>0.1149</v>
      </c>
      <c r="I36" s="383">
        <f>+H36+G36</f>
        <v>0.1249</v>
      </c>
      <c r="J36" s="385">
        <f>IF(E36&lt;0,0,E36*I36/365)</f>
        <v>0</v>
      </c>
      <c r="K36" s="378">
        <f>+E36-E35</f>
        <v>0</v>
      </c>
    </row>
    <row r="37" spans="1:13" ht="18.600000000000001" customHeight="1" x14ac:dyDescent="0.3">
      <c r="B37" s="855"/>
      <c r="E37" s="2">
        <f>SUM(B37:D37)</f>
        <v>0</v>
      </c>
      <c r="G37" s="100"/>
      <c r="H37" s="20"/>
      <c r="I37" s="20"/>
      <c r="J37" s="19">
        <f>SUM(J6:J36)</f>
        <v>0</v>
      </c>
      <c r="K37" s="379"/>
      <c r="L37" s="257"/>
    </row>
    <row r="38" spans="1:13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3" x14ac:dyDescent="0.3">
      <c r="G39" s="965" t="s">
        <v>22</v>
      </c>
      <c r="H39" s="965"/>
      <c r="I39" s="965"/>
    </row>
    <row r="40" spans="1:13" x14ac:dyDescent="0.3">
      <c r="G40" s="975"/>
      <c r="H40" s="975"/>
      <c r="I40" s="975"/>
      <c r="J40" s="214" t="s">
        <v>0</v>
      </c>
    </row>
    <row r="41" spans="1:13" x14ac:dyDescent="0.3">
      <c r="G41" s="968" t="s">
        <v>15</v>
      </c>
      <c r="H41" s="968"/>
      <c r="I41" s="968"/>
      <c r="J41" s="307">
        <v>2791449.4180657724</v>
      </c>
      <c r="K41" s="139"/>
      <c r="L41" s="257"/>
    </row>
    <row r="42" spans="1:13" ht="17.399999999999999" x14ac:dyDescent="0.3">
      <c r="A42" s="343" t="s">
        <v>263</v>
      </c>
      <c r="B42" s="345" t="s">
        <v>66</v>
      </c>
      <c r="G42" s="968" t="s">
        <v>28</v>
      </c>
      <c r="H42" s="968"/>
      <c r="I42" s="968"/>
      <c r="J42" s="241"/>
      <c r="K42" s="748"/>
      <c r="L42" s="708"/>
      <c r="M42" s="34"/>
    </row>
    <row r="43" spans="1:13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</row>
    <row r="44" spans="1:13" x14ac:dyDescent="0.3">
      <c r="G44" s="966"/>
      <c r="H44" s="966"/>
      <c r="I44" s="966"/>
      <c r="J44" s="966"/>
    </row>
    <row r="45" spans="1:13" ht="16.2" customHeight="1" thickBot="1" x14ac:dyDescent="0.35">
      <c r="G45" s="978" t="s">
        <v>199</v>
      </c>
      <c r="H45" s="978"/>
      <c r="I45" s="978"/>
      <c r="J45" s="217">
        <f>J37+J43</f>
        <v>0</v>
      </c>
    </row>
    <row r="46" spans="1:13" x14ac:dyDescent="0.3">
      <c r="G46" s="967"/>
      <c r="H46" s="967"/>
      <c r="I46" s="967"/>
      <c r="J46" s="967"/>
    </row>
    <row r="47" spans="1:13" x14ac:dyDescent="0.3">
      <c r="G47" s="964" t="s">
        <v>31</v>
      </c>
      <c r="H47" s="964"/>
      <c r="I47" s="964"/>
      <c r="J47" s="106">
        <f>J41+J45-J42</f>
        <v>2791449.4180657724</v>
      </c>
      <c r="K47" s="416"/>
    </row>
    <row r="48" spans="1:13" x14ac:dyDescent="0.3">
      <c r="J48" s="2"/>
    </row>
    <row r="49" spans="10:10" x14ac:dyDescent="0.3">
      <c r="J49" s="34"/>
    </row>
  </sheetData>
  <autoFilter ref="K1:K49" xr:uid="{222B9399-FF7C-4DE3-8323-A1E80D9ECFAA}"/>
  <mergeCells count="20">
    <mergeCell ref="G41:I41"/>
    <mergeCell ref="G42:I42"/>
    <mergeCell ref="G43:I43"/>
    <mergeCell ref="G45:I45"/>
    <mergeCell ref="G47:I47"/>
    <mergeCell ref="G44:J44"/>
    <mergeCell ref="G46:J46"/>
    <mergeCell ref="A1:J1"/>
    <mergeCell ref="A2:I2"/>
    <mergeCell ref="A3:J3"/>
    <mergeCell ref="A38:J38"/>
    <mergeCell ref="G39:I39"/>
    <mergeCell ref="H4:H5"/>
    <mergeCell ref="J4:J5"/>
    <mergeCell ref="G40:I40"/>
    <mergeCell ref="A4:A5"/>
    <mergeCell ref="B4:B5"/>
    <mergeCell ref="E4:E5"/>
    <mergeCell ref="G4:G5"/>
    <mergeCell ref="I4:I5"/>
  </mergeCells>
  <phoneticPr fontId="3" type="noConversion"/>
  <printOptions horizontalCentered="1" verticalCentered="1"/>
  <pageMargins left="0.74803149606299213" right="0.74803149606299213" top="0.51181102362204722" bottom="0.51181102362204722" header="0.51181102362204722" footer="0.51181102362204722"/>
  <pageSetup scale="78" orientation="landscape" r:id="rId1"/>
  <headerFooter alignWithMargins="0"/>
  <ignoredErrors>
    <ignoredError sqref="E6:E32" formulaRange="1"/>
  </ignoredError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B6FF-12A3-4F9A-BB1F-1B9BC5ECE931}">
  <sheetPr>
    <tabColor theme="0"/>
    <pageSetUpPr fitToPage="1"/>
  </sheetPr>
  <dimension ref="A1:J92"/>
  <sheetViews>
    <sheetView showGridLines="0" topLeftCell="A71" zoomScaleNormal="100" zoomScaleSheetLayoutView="90" workbookViewId="0">
      <selection activeCell="B76" sqref="B76:E76"/>
    </sheetView>
  </sheetViews>
  <sheetFormatPr defaultColWidth="8.90625" defaultRowHeight="13.8" x14ac:dyDescent="0.3"/>
  <cols>
    <col min="1" max="1" width="16.1796875" style="3" customWidth="1"/>
    <col min="2" max="5" width="14.81640625" style="331" customWidth="1"/>
    <col min="6" max="6" width="11.81640625" style="3" bestFit="1" customWidth="1"/>
    <col min="7" max="7" width="11.54296875" style="3" customWidth="1"/>
    <col min="8" max="10" width="11" style="3" bestFit="1" customWidth="1"/>
    <col min="11" max="16384" width="8.90625" style="3"/>
  </cols>
  <sheetData>
    <row r="1" spans="1:10" ht="18" x14ac:dyDescent="0.35">
      <c r="A1" s="7" t="s">
        <v>35</v>
      </c>
      <c r="B1" s="403"/>
      <c r="C1" s="403"/>
      <c r="D1" s="403"/>
      <c r="E1" s="403"/>
      <c r="F1" s="2"/>
    </row>
    <row r="2" spans="1:10" ht="18.600000000000001" thickBot="1" x14ac:dyDescent="0.4">
      <c r="A2" s="8" t="s">
        <v>162</v>
      </c>
      <c r="B2" s="822"/>
      <c r="C2" s="822"/>
      <c r="D2" s="822"/>
      <c r="E2" s="822"/>
      <c r="F2" s="27">
        <f>'FINANCIAL COST SUMMARY'!K2</f>
        <v>46204</v>
      </c>
    </row>
    <row r="3" spans="1:10" x14ac:dyDescent="0.3">
      <c r="A3" s="4"/>
      <c r="B3" s="493"/>
      <c r="C3" s="493"/>
      <c r="D3" s="493"/>
      <c r="E3" s="493"/>
      <c r="F3" s="49"/>
    </row>
    <row r="4" spans="1:10" x14ac:dyDescent="0.3">
      <c r="A4" s="943" t="s">
        <v>19</v>
      </c>
      <c r="B4" s="943"/>
      <c r="C4" s="943"/>
      <c r="D4" s="943"/>
      <c r="E4" s="943"/>
      <c r="F4" s="943"/>
    </row>
    <row r="5" spans="1:10" s="75" customFormat="1" ht="54.6" customHeight="1" x14ac:dyDescent="0.25">
      <c r="A5" s="51" t="s">
        <v>2</v>
      </c>
      <c r="B5" s="531" t="s">
        <v>421</v>
      </c>
      <c r="C5" s="531" t="s">
        <v>422</v>
      </c>
      <c r="D5" s="531" t="s">
        <v>423</v>
      </c>
      <c r="E5" s="531" t="s">
        <v>424</v>
      </c>
      <c r="F5" s="395" t="s">
        <v>0</v>
      </c>
      <c r="H5" s="82">
        <v>46195</v>
      </c>
      <c r="I5" s="75">
        <v>120</v>
      </c>
      <c r="J5" s="82">
        <f>H5+I5</f>
        <v>46315</v>
      </c>
    </row>
    <row r="6" spans="1:10" x14ac:dyDescent="0.3">
      <c r="A6" s="6">
        <v>46204</v>
      </c>
      <c r="B6" s="713">
        <f>247950*280.4</f>
        <v>69525180</v>
      </c>
      <c r="C6" s="713">
        <f t="shared" ref="C6:C15" si="0">22560*279.7</f>
        <v>6310032</v>
      </c>
      <c r="D6" s="713">
        <f t="shared" ref="D6:D21" si="1">140263.84*279.5</f>
        <v>39203743.280000001</v>
      </c>
      <c r="E6" s="713">
        <f t="shared" ref="E6:E26" si="2">110880*279.35</f>
        <v>30974328.000000004</v>
      </c>
      <c r="F6" s="35">
        <f>SUM(B6:E6)</f>
        <v>146013283.28</v>
      </c>
      <c r="G6" s="31"/>
      <c r="H6" s="76"/>
      <c r="J6" s="76"/>
    </row>
    <row r="7" spans="1:10" x14ac:dyDescent="0.3">
      <c r="A7" s="6">
        <f>+A6+1</f>
        <v>46205</v>
      </c>
      <c r="B7" s="713">
        <f>247950*280.4</f>
        <v>69525180</v>
      </c>
      <c r="C7" s="713">
        <f t="shared" si="0"/>
        <v>6310032</v>
      </c>
      <c r="D7" s="713">
        <f t="shared" si="1"/>
        <v>39203743.280000001</v>
      </c>
      <c r="E7" s="713">
        <f t="shared" si="2"/>
        <v>30974328.000000004</v>
      </c>
      <c r="F7" s="35">
        <f t="shared" ref="F7:F34" si="3">SUM(B7:E7)</f>
        <v>146013283.28</v>
      </c>
      <c r="G7" s="76"/>
      <c r="I7" s="76"/>
      <c r="J7" s="76"/>
    </row>
    <row r="8" spans="1:10" x14ac:dyDescent="0.3">
      <c r="A8" s="6">
        <f t="shared" ref="A8:A36" si="4">+A7+1</f>
        <v>46206</v>
      </c>
      <c r="B8" s="713">
        <f t="shared" ref="B8:B36" si="5">247950*280.4</f>
        <v>69525180</v>
      </c>
      <c r="C8" s="713">
        <f t="shared" si="0"/>
        <v>6310032</v>
      </c>
      <c r="D8" s="713">
        <f t="shared" si="1"/>
        <v>39203743.280000001</v>
      </c>
      <c r="E8" s="713">
        <f t="shared" si="2"/>
        <v>30974328.000000004</v>
      </c>
      <c r="F8" s="35">
        <f t="shared" si="3"/>
        <v>146013283.28</v>
      </c>
      <c r="G8" s="325"/>
      <c r="H8" s="325"/>
      <c r="I8" s="2"/>
      <c r="J8" s="34"/>
    </row>
    <row r="9" spans="1:10" x14ac:dyDescent="0.3">
      <c r="A9" s="6">
        <f t="shared" si="4"/>
        <v>46207</v>
      </c>
      <c r="B9" s="713">
        <f t="shared" si="5"/>
        <v>69525180</v>
      </c>
      <c r="C9" s="713">
        <f t="shared" si="0"/>
        <v>6310032</v>
      </c>
      <c r="D9" s="713">
        <f t="shared" si="1"/>
        <v>39203743.280000001</v>
      </c>
      <c r="E9" s="713">
        <f t="shared" si="2"/>
        <v>30974328.000000004</v>
      </c>
      <c r="F9" s="35">
        <f t="shared" si="3"/>
        <v>146013283.28</v>
      </c>
      <c r="G9" s="325"/>
      <c r="H9" s="325"/>
      <c r="I9" s="2"/>
      <c r="J9" s="34"/>
    </row>
    <row r="10" spans="1:10" x14ac:dyDescent="0.3">
      <c r="A10" s="6">
        <f t="shared" si="4"/>
        <v>46208</v>
      </c>
      <c r="B10" s="713">
        <f t="shared" si="5"/>
        <v>69525180</v>
      </c>
      <c r="C10" s="713">
        <f t="shared" si="0"/>
        <v>6310032</v>
      </c>
      <c r="D10" s="713">
        <f t="shared" si="1"/>
        <v>39203743.280000001</v>
      </c>
      <c r="E10" s="713">
        <f t="shared" si="2"/>
        <v>30974328.000000004</v>
      </c>
      <c r="F10" s="35">
        <f t="shared" si="3"/>
        <v>146013283.28</v>
      </c>
      <c r="H10" s="325"/>
      <c r="I10" s="2"/>
      <c r="J10" s="34"/>
    </row>
    <row r="11" spans="1:10" x14ac:dyDescent="0.3">
      <c r="A11" s="6">
        <f t="shared" si="4"/>
        <v>46209</v>
      </c>
      <c r="B11" s="713">
        <f t="shared" si="5"/>
        <v>69525180</v>
      </c>
      <c r="C11" s="713">
        <f t="shared" si="0"/>
        <v>6310032</v>
      </c>
      <c r="D11" s="713">
        <f t="shared" si="1"/>
        <v>39203743.280000001</v>
      </c>
      <c r="E11" s="713">
        <f t="shared" si="2"/>
        <v>30974328.000000004</v>
      </c>
      <c r="F11" s="35">
        <f t="shared" si="3"/>
        <v>146013283.28</v>
      </c>
      <c r="H11" s="325"/>
      <c r="I11" s="2"/>
      <c r="J11" s="34"/>
    </row>
    <row r="12" spans="1:10" x14ac:dyDescent="0.3">
      <c r="A12" s="6">
        <f t="shared" si="4"/>
        <v>46210</v>
      </c>
      <c r="B12" s="713">
        <f t="shared" si="5"/>
        <v>69525180</v>
      </c>
      <c r="C12" s="713">
        <f t="shared" si="0"/>
        <v>6310032</v>
      </c>
      <c r="D12" s="713">
        <f t="shared" si="1"/>
        <v>39203743.280000001</v>
      </c>
      <c r="E12" s="713">
        <f t="shared" si="2"/>
        <v>30974328.000000004</v>
      </c>
      <c r="F12" s="35">
        <f t="shared" si="3"/>
        <v>146013283.28</v>
      </c>
      <c r="G12" s="76"/>
      <c r="H12" s="325"/>
      <c r="I12" s="2"/>
      <c r="J12" s="34"/>
    </row>
    <row r="13" spans="1:10" x14ac:dyDescent="0.3">
      <c r="A13" s="6">
        <f t="shared" si="4"/>
        <v>46211</v>
      </c>
      <c r="B13" s="713">
        <f t="shared" si="5"/>
        <v>69525180</v>
      </c>
      <c r="C13" s="713">
        <f t="shared" si="0"/>
        <v>6310032</v>
      </c>
      <c r="D13" s="713">
        <f t="shared" si="1"/>
        <v>39203743.280000001</v>
      </c>
      <c r="E13" s="713">
        <f t="shared" si="2"/>
        <v>30974328.000000004</v>
      </c>
      <c r="F13" s="35">
        <f t="shared" si="3"/>
        <v>146013283.28</v>
      </c>
      <c r="H13" s="34"/>
      <c r="I13" s="2"/>
      <c r="J13" s="34"/>
    </row>
    <row r="14" spans="1:10" x14ac:dyDescent="0.3">
      <c r="A14" s="6">
        <f t="shared" si="4"/>
        <v>46212</v>
      </c>
      <c r="B14" s="713">
        <f t="shared" si="5"/>
        <v>69525180</v>
      </c>
      <c r="C14" s="713">
        <f t="shared" si="0"/>
        <v>6310032</v>
      </c>
      <c r="D14" s="713">
        <f t="shared" si="1"/>
        <v>39203743.280000001</v>
      </c>
      <c r="E14" s="713">
        <f t="shared" si="2"/>
        <v>30974328.000000004</v>
      </c>
      <c r="F14" s="35">
        <f t="shared" si="3"/>
        <v>146013283.28</v>
      </c>
      <c r="H14" s="257"/>
      <c r="I14" s="2"/>
      <c r="J14" s="325"/>
    </row>
    <row r="15" spans="1:10" x14ac:dyDescent="0.3">
      <c r="A15" s="6">
        <f t="shared" si="4"/>
        <v>46213</v>
      </c>
      <c r="B15" s="713">
        <f t="shared" si="5"/>
        <v>69525180</v>
      </c>
      <c r="C15" s="713">
        <f t="shared" si="0"/>
        <v>6310032</v>
      </c>
      <c r="D15" s="713">
        <f t="shared" si="1"/>
        <v>39203743.280000001</v>
      </c>
      <c r="E15" s="713">
        <f t="shared" si="2"/>
        <v>30974328.000000004</v>
      </c>
      <c r="F15" s="35">
        <f t="shared" si="3"/>
        <v>146013283.28</v>
      </c>
      <c r="H15" s="325"/>
      <c r="I15" s="2"/>
      <c r="J15" s="34"/>
    </row>
    <row r="16" spans="1:10" x14ac:dyDescent="0.3">
      <c r="A16" s="6">
        <f t="shared" si="4"/>
        <v>46214</v>
      </c>
      <c r="B16" s="713">
        <f t="shared" si="5"/>
        <v>69525180</v>
      </c>
      <c r="C16" s="713">
        <f>22560*279.7</f>
        <v>6310032</v>
      </c>
      <c r="D16" s="713">
        <f t="shared" si="1"/>
        <v>39203743.280000001</v>
      </c>
      <c r="E16" s="713">
        <f t="shared" si="2"/>
        <v>30974328.000000004</v>
      </c>
      <c r="F16" s="35">
        <f t="shared" si="3"/>
        <v>146013283.28</v>
      </c>
      <c r="H16" s="325"/>
      <c r="I16" s="2"/>
      <c r="J16" s="34"/>
    </row>
    <row r="17" spans="1:8" x14ac:dyDescent="0.3">
      <c r="A17" s="6">
        <f t="shared" si="4"/>
        <v>46215</v>
      </c>
      <c r="B17" s="713">
        <f t="shared" si="5"/>
        <v>69525180</v>
      </c>
      <c r="C17" s="713">
        <f t="shared" ref="C17:C36" si="6">22560*279.7</f>
        <v>6310032</v>
      </c>
      <c r="D17" s="713">
        <f t="shared" si="1"/>
        <v>39203743.280000001</v>
      </c>
      <c r="E17" s="713">
        <f t="shared" si="2"/>
        <v>30974328.000000004</v>
      </c>
      <c r="F17" s="35">
        <f t="shared" si="3"/>
        <v>146013283.28</v>
      </c>
      <c r="H17" s="325"/>
    </row>
    <row r="18" spans="1:8" x14ac:dyDescent="0.3">
      <c r="A18" s="6">
        <f t="shared" si="4"/>
        <v>46216</v>
      </c>
      <c r="B18" s="713">
        <f t="shared" si="5"/>
        <v>69525180</v>
      </c>
      <c r="C18" s="713">
        <f t="shared" si="6"/>
        <v>6310032</v>
      </c>
      <c r="D18" s="713">
        <f t="shared" si="1"/>
        <v>39203743.280000001</v>
      </c>
      <c r="E18" s="713">
        <f t="shared" si="2"/>
        <v>30974328.000000004</v>
      </c>
      <c r="F18" s="35">
        <f t="shared" si="3"/>
        <v>146013283.28</v>
      </c>
    </row>
    <row r="19" spans="1:8" x14ac:dyDescent="0.3">
      <c r="A19" s="6">
        <f t="shared" si="4"/>
        <v>46217</v>
      </c>
      <c r="B19" s="713">
        <f t="shared" si="5"/>
        <v>69525180</v>
      </c>
      <c r="C19" s="713">
        <f t="shared" si="6"/>
        <v>6310032</v>
      </c>
      <c r="D19" s="713">
        <f t="shared" si="1"/>
        <v>39203743.280000001</v>
      </c>
      <c r="E19" s="713">
        <f t="shared" si="2"/>
        <v>30974328.000000004</v>
      </c>
      <c r="F19" s="35">
        <f t="shared" si="3"/>
        <v>146013283.28</v>
      </c>
    </row>
    <row r="20" spans="1:8" x14ac:dyDescent="0.3">
      <c r="A20" s="6">
        <f t="shared" si="4"/>
        <v>46218</v>
      </c>
      <c r="B20" s="713">
        <f t="shared" si="5"/>
        <v>69525180</v>
      </c>
      <c r="C20" s="713">
        <f t="shared" si="6"/>
        <v>6310032</v>
      </c>
      <c r="D20" s="713">
        <f t="shared" si="1"/>
        <v>39203743.280000001</v>
      </c>
      <c r="E20" s="713">
        <f t="shared" si="2"/>
        <v>30974328.000000004</v>
      </c>
      <c r="F20" s="35">
        <f t="shared" si="3"/>
        <v>146013283.28</v>
      </c>
    </row>
    <row r="21" spans="1:8" x14ac:dyDescent="0.3">
      <c r="A21" s="6">
        <f t="shared" si="4"/>
        <v>46219</v>
      </c>
      <c r="B21" s="713">
        <f t="shared" si="5"/>
        <v>69525180</v>
      </c>
      <c r="C21" s="713">
        <f t="shared" si="6"/>
        <v>6310032</v>
      </c>
      <c r="D21" s="713">
        <f t="shared" si="1"/>
        <v>39203743.280000001</v>
      </c>
      <c r="E21" s="713">
        <f t="shared" si="2"/>
        <v>30974328.000000004</v>
      </c>
      <c r="F21" s="35">
        <f t="shared" si="3"/>
        <v>146013283.28</v>
      </c>
    </row>
    <row r="22" spans="1:8" x14ac:dyDescent="0.3">
      <c r="A22" s="6">
        <f t="shared" si="4"/>
        <v>46220</v>
      </c>
      <c r="B22" s="713">
        <f t="shared" si="5"/>
        <v>69525180</v>
      </c>
      <c r="C22" s="713">
        <f t="shared" si="6"/>
        <v>6310032</v>
      </c>
      <c r="D22" s="713">
        <f>140263.84*279.5</f>
        <v>39203743.280000001</v>
      </c>
      <c r="E22" s="713">
        <f t="shared" si="2"/>
        <v>30974328.000000004</v>
      </c>
      <c r="F22" s="35">
        <f t="shared" si="3"/>
        <v>146013283.28</v>
      </c>
    </row>
    <row r="23" spans="1:8" x14ac:dyDescent="0.3">
      <c r="A23" s="6">
        <f t="shared" si="4"/>
        <v>46221</v>
      </c>
      <c r="B23" s="713">
        <f t="shared" si="5"/>
        <v>69525180</v>
      </c>
      <c r="C23" s="713">
        <f t="shared" si="6"/>
        <v>6310032</v>
      </c>
      <c r="D23" s="713">
        <f t="shared" ref="D23:D36" si="7">140263.84*279.5</f>
        <v>39203743.280000001</v>
      </c>
      <c r="E23" s="713">
        <f t="shared" si="2"/>
        <v>30974328.000000004</v>
      </c>
      <c r="F23" s="35">
        <f t="shared" si="3"/>
        <v>146013283.28</v>
      </c>
    </row>
    <row r="24" spans="1:8" x14ac:dyDescent="0.3">
      <c r="A24" s="6">
        <f t="shared" si="4"/>
        <v>46222</v>
      </c>
      <c r="B24" s="713">
        <f t="shared" si="5"/>
        <v>69525180</v>
      </c>
      <c r="C24" s="713">
        <f t="shared" si="6"/>
        <v>6310032</v>
      </c>
      <c r="D24" s="713">
        <f t="shared" si="7"/>
        <v>39203743.280000001</v>
      </c>
      <c r="E24" s="713">
        <f t="shared" si="2"/>
        <v>30974328.000000004</v>
      </c>
      <c r="F24" s="35">
        <f t="shared" si="3"/>
        <v>146013283.28</v>
      </c>
    </row>
    <row r="25" spans="1:8" x14ac:dyDescent="0.3">
      <c r="A25" s="6">
        <f t="shared" si="4"/>
        <v>46223</v>
      </c>
      <c r="B25" s="713">
        <f t="shared" si="5"/>
        <v>69525180</v>
      </c>
      <c r="C25" s="713">
        <f t="shared" si="6"/>
        <v>6310032</v>
      </c>
      <c r="D25" s="713">
        <f t="shared" si="7"/>
        <v>39203743.280000001</v>
      </c>
      <c r="E25" s="713">
        <f t="shared" si="2"/>
        <v>30974328.000000004</v>
      </c>
      <c r="F25" s="35">
        <f t="shared" si="3"/>
        <v>146013283.28</v>
      </c>
    </row>
    <row r="26" spans="1:8" s="331" customFormat="1" x14ac:dyDescent="0.3">
      <c r="A26" s="315">
        <f t="shared" si="4"/>
        <v>46224</v>
      </c>
      <c r="B26" s="713">
        <f t="shared" si="5"/>
        <v>69525180</v>
      </c>
      <c r="C26" s="713">
        <f t="shared" si="6"/>
        <v>6310032</v>
      </c>
      <c r="D26" s="713">
        <f t="shared" si="7"/>
        <v>39203743.280000001</v>
      </c>
      <c r="E26" s="713">
        <f t="shared" si="2"/>
        <v>30974328.000000004</v>
      </c>
      <c r="F26" s="35">
        <f t="shared" si="3"/>
        <v>146013283.28</v>
      </c>
    </row>
    <row r="27" spans="1:8" x14ac:dyDescent="0.3">
      <c r="A27" s="315">
        <f t="shared" si="4"/>
        <v>46225</v>
      </c>
      <c r="B27" s="713">
        <f t="shared" si="5"/>
        <v>69525180</v>
      </c>
      <c r="C27" s="713">
        <f t="shared" si="6"/>
        <v>6310032</v>
      </c>
      <c r="D27" s="713">
        <f t="shared" si="7"/>
        <v>39203743.280000001</v>
      </c>
      <c r="E27" s="713">
        <f>110880*279.35</f>
        <v>30974328.000000004</v>
      </c>
      <c r="F27" s="35">
        <f t="shared" si="3"/>
        <v>146013283.28</v>
      </c>
      <c r="G27" s="2"/>
      <c r="H27" s="34"/>
    </row>
    <row r="28" spans="1:8" x14ac:dyDescent="0.3">
      <c r="A28" s="315">
        <f t="shared" si="4"/>
        <v>46226</v>
      </c>
      <c r="B28" s="713">
        <f t="shared" si="5"/>
        <v>69525180</v>
      </c>
      <c r="C28" s="713">
        <f t="shared" si="6"/>
        <v>6310032</v>
      </c>
      <c r="D28" s="713">
        <f t="shared" si="7"/>
        <v>39203743.280000001</v>
      </c>
      <c r="E28" s="713">
        <f t="shared" ref="E28:E36" si="8">110880*279.35</f>
        <v>30974328.000000004</v>
      </c>
      <c r="F28" s="35">
        <f t="shared" si="3"/>
        <v>146013283.28</v>
      </c>
    </row>
    <row r="29" spans="1:8" x14ac:dyDescent="0.3">
      <c r="A29" s="6">
        <f t="shared" si="4"/>
        <v>46227</v>
      </c>
      <c r="B29" s="713">
        <f t="shared" si="5"/>
        <v>69525180</v>
      </c>
      <c r="C29" s="713">
        <f t="shared" si="6"/>
        <v>6310032</v>
      </c>
      <c r="D29" s="713">
        <f t="shared" si="7"/>
        <v>39203743.280000001</v>
      </c>
      <c r="E29" s="713">
        <f t="shared" si="8"/>
        <v>30974328.000000004</v>
      </c>
      <c r="F29" s="35">
        <f t="shared" si="3"/>
        <v>146013283.28</v>
      </c>
    </row>
    <row r="30" spans="1:8" x14ac:dyDescent="0.3">
      <c r="A30" s="6">
        <f t="shared" si="4"/>
        <v>46228</v>
      </c>
      <c r="B30" s="713">
        <f t="shared" si="5"/>
        <v>69525180</v>
      </c>
      <c r="C30" s="713">
        <f t="shared" si="6"/>
        <v>6310032</v>
      </c>
      <c r="D30" s="713">
        <f t="shared" si="7"/>
        <v>39203743.280000001</v>
      </c>
      <c r="E30" s="713">
        <f t="shared" si="8"/>
        <v>30974328.000000004</v>
      </c>
      <c r="F30" s="35">
        <f t="shared" si="3"/>
        <v>146013283.28</v>
      </c>
    </row>
    <row r="31" spans="1:8" x14ac:dyDescent="0.3">
      <c r="A31" s="6">
        <f t="shared" si="4"/>
        <v>46229</v>
      </c>
      <c r="B31" s="713">
        <f t="shared" si="5"/>
        <v>69525180</v>
      </c>
      <c r="C31" s="713">
        <f t="shared" si="6"/>
        <v>6310032</v>
      </c>
      <c r="D31" s="713">
        <f t="shared" si="7"/>
        <v>39203743.280000001</v>
      </c>
      <c r="E31" s="713">
        <f t="shared" si="8"/>
        <v>30974328.000000004</v>
      </c>
      <c r="F31" s="35">
        <f t="shared" si="3"/>
        <v>146013283.28</v>
      </c>
    </row>
    <row r="32" spans="1:8" x14ac:dyDescent="0.3">
      <c r="A32" s="6">
        <f t="shared" si="4"/>
        <v>46230</v>
      </c>
      <c r="B32" s="713">
        <f t="shared" si="5"/>
        <v>69525180</v>
      </c>
      <c r="C32" s="713">
        <f t="shared" si="6"/>
        <v>6310032</v>
      </c>
      <c r="D32" s="713">
        <f t="shared" si="7"/>
        <v>39203743.280000001</v>
      </c>
      <c r="E32" s="713">
        <f t="shared" si="8"/>
        <v>30974328.000000004</v>
      </c>
      <c r="F32" s="35">
        <f t="shared" si="3"/>
        <v>146013283.28</v>
      </c>
    </row>
    <row r="33" spans="1:10" x14ac:dyDescent="0.3">
      <c r="A33" s="6">
        <f t="shared" si="4"/>
        <v>46231</v>
      </c>
      <c r="B33" s="713">
        <f t="shared" si="5"/>
        <v>69525180</v>
      </c>
      <c r="C33" s="713">
        <f t="shared" si="6"/>
        <v>6310032</v>
      </c>
      <c r="D33" s="713">
        <f t="shared" si="7"/>
        <v>39203743.280000001</v>
      </c>
      <c r="E33" s="713">
        <f t="shared" si="8"/>
        <v>30974328.000000004</v>
      </c>
      <c r="F33" s="35">
        <f t="shared" si="3"/>
        <v>146013283.28</v>
      </c>
    </row>
    <row r="34" spans="1:10" x14ac:dyDescent="0.3">
      <c r="A34" s="6">
        <f t="shared" si="4"/>
        <v>46232</v>
      </c>
      <c r="B34" s="713">
        <f t="shared" si="5"/>
        <v>69525180</v>
      </c>
      <c r="C34" s="713">
        <f t="shared" si="6"/>
        <v>6310032</v>
      </c>
      <c r="D34" s="713">
        <f t="shared" si="7"/>
        <v>39203743.280000001</v>
      </c>
      <c r="E34" s="713">
        <f t="shared" si="8"/>
        <v>30974328.000000004</v>
      </c>
      <c r="F34" s="35">
        <f t="shared" si="3"/>
        <v>146013283.28</v>
      </c>
    </row>
    <row r="35" spans="1:10" x14ac:dyDescent="0.3">
      <c r="A35" s="6">
        <f t="shared" si="4"/>
        <v>46233</v>
      </c>
      <c r="B35" s="713">
        <f t="shared" si="5"/>
        <v>69525180</v>
      </c>
      <c r="C35" s="713">
        <f t="shared" si="6"/>
        <v>6310032</v>
      </c>
      <c r="D35" s="713">
        <f t="shared" si="7"/>
        <v>39203743.280000001</v>
      </c>
      <c r="E35" s="713">
        <f t="shared" si="8"/>
        <v>30974328.000000004</v>
      </c>
      <c r="F35" s="35">
        <f t="shared" ref="F35" si="9">SUM(B35:E35)</f>
        <v>146013283.28</v>
      </c>
    </row>
    <row r="36" spans="1:10" x14ac:dyDescent="0.3">
      <c r="A36" s="6">
        <f t="shared" si="4"/>
        <v>46234</v>
      </c>
      <c r="B36" s="713">
        <f t="shared" si="5"/>
        <v>69525180</v>
      </c>
      <c r="C36" s="713">
        <f t="shared" si="6"/>
        <v>6310032</v>
      </c>
      <c r="D36" s="713">
        <f t="shared" si="7"/>
        <v>39203743.280000001</v>
      </c>
      <c r="E36" s="713">
        <f t="shared" si="8"/>
        <v>30974328.000000004</v>
      </c>
      <c r="F36" s="35">
        <f t="shared" ref="F36" si="10">SUM(B36:E36)</f>
        <v>146013283.28</v>
      </c>
    </row>
    <row r="37" spans="1:10" x14ac:dyDescent="0.3">
      <c r="A37" s="124"/>
      <c r="B37" s="492"/>
      <c r="C37" s="492"/>
      <c r="D37" s="492"/>
      <c r="E37" s="492"/>
      <c r="F37" s="492"/>
    </row>
    <row r="38" spans="1:10" x14ac:dyDescent="0.3">
      <c r="A38" s="943" t="s">
        <v>56</v>
      </c>
      <c r="B38" s="943"/>
      <c r="C38" s="943"/>
      <c r="D38" s="943"/>
      <c r="E38" s="943"/>
      <c r="F38" s="943"/>
      <c r="J38" s="331"/>
    </row>
    <row r="39" spans="1:10" s="75" customFormat="1" ht="56.4" customHeight="1" x14ac:dyDescent="0.25">
      <c r="A39" s="51" t="s">
        <v>2</v>
      </c>
      <c r="B39" s="717" t="str">
        <f>B5</f>
        <v>002FATR00207015
(C.D 02.06.2026, M.D 30.09.2026)</v>
      </c>
      <c r="C39" s="717" t="str">
        <f>C5</f>
        <v>002FATR00207300
(C.D 11.06.2026, M.D 09.10.2026)</v>
      </c>
      <c r="D39" s="717" t="str">
        <f>D5</f>
        <v>002FATR00207445
(C.D 17.06.2026, M.D 15.10.2026)</v>
      </c>
      <c r="E39" s="717" t="str">
        <f>E5</f>
        <v>002FATR00207564
(C.D 22.06.2026, M.D 20.10.2026)</v>
      </c>
      <c r="F39" s="395" t="s">
        <v>0</v>
      </c>
    </row>
    <row r="40" spans="1:10" s="91" customFormat="1" ht="27.6" x14ac:dyDescent="0.25">
      <c r="A40" s="375" t="s">
        <v>179</v>
      </c>
      <c r="B40" s="714">
        <f>12.21%+1%</f>
        <v>0.13210000000000002</v>
      </c>
      <c r="C40" s="714">
        <f>12.25%+1%</f>
        <v>0.13250000000000001</v>
      </c>
      <c r="D40" s="714">
        <f>12.03%+1%</f>
        <v>0.1303</v>
      </c>
      <c r="E40" s="714">
        <f>11.91%+1%</f>
        <v>0.12909999999999999</v>
      </c>
      <c r="F40" s="527"/>
    </row>
    <row r="41" spans="1:10" x14ac:dyDescent="0.3">
      <c r="A41" s="6">
        <f t="shared" ref="A41:A70" si="11">A6</f>
        <v>46204</v>
      </c>
      <c r="B41" s="381">
        <f t="shared" ref="B41:E71" si="12">IF(B6&lt;0,0,B6*B$40/365)</f>
        <v>25162.400761643839</v>
      </c>
      <c r="C41" s="381">
        <f t="shared" si="12"/>
        <v>2290.6280547945207</v>
      </c>
      <c r="D41" s="381">
        <f t="shared" si="12"/>
        <v>13995.199313380821</v>
      </c>
      <c r="E41" s="381">
        <f t="shared" si="12"/>
        <v>10955.5773830137</v>
      </c>
      <c r="F41" s="35">
        <f>SUM(B41:E41)</f>
        <v>52403.805512832885</v>
      </c>
    </row>
    <row r="42" spans="1:10" x14ac:dyDescent="0.3">
      <c r="A42" s="6">
        <f t="shared" si="11"/>
        <v>46205</v>
      </c>
      <c r="B42" s="381">
        <f t="shared" si="12"/>
        <v>25162.400761643839</v>
      </c>
      <c r="C42" s="381">
        <f t="shared" si="12"/>
        <v>2290.6280547945207</v>
      </c>
      <c r="D42" s="381">
        <f t="shared" si="12"/>
        <v>13995.199313380821</v>
      </c>
      <c r="E42" s="381">
        <f t="shared" si="12"/>
        <v>10955.5773830137</v>
      </c>
      <c r="F42" s="35">
        <f t="shared" ref="F42:F71" si="13">SUM(B42:E42)</f>
        <v>52403.805512832885</v>
      </c>
    </row>
    <row r="43" spans="1:10" x14ac:dyDescent="0.3">
      <c r="A43" s="6">
        <f t="shared" si="11"/>
        <v>46206</v>
      </c>
      <c r="B43" s="381">
        <f t="shared" si="12"/>
        <v>25162.400761643839</v>
      </c>
      <c r="C43" s="381">
        <f t="shared" si="12"/>
        <v>2290.6280547945207</v>
      </c>
      <c r="D43" s="381">
        <f t="shared" si="12"/>
        <v>13995.199313380821</v>
      </c>
      <c r="E43" s="381">
        <f t="shared" si="12"/>
        <v>10955.5773830137</v>
      </c>
      <c r="F43" s="35">
        <f t="shared" si="13"/>
        <v>52403.805512832885</v>
      </c>
    </row>
    <row r="44" spans="1:10" x14ac:dyDescent="0.3">
      <c r="A44" s="6">
        <f t="shared" si="11"/>
        <v>46207</v>
      </c>
      <c r="B44" s="381">
        <f t="shared" si="12"/>
        <v>25162.400761643839</v>
      </c>
      <c r="C44" s="381">
        <f t="shared" si="12"/>
        <v>2290.6280547945207</v>
      </c>
      <c r="D44" s="381">
        <f t="shared" si="12"/>
        <v>13995.199313380821</v>
      </c>
      <c r="E44" s="381">
        <f t="shared" si="12"/>
        <v>10955.5773830137</v>
      </c>
      <c r="F44" s="35">
        <f t="shared" si="13"/>
        <v>52403.805512832885</v>
      </c>
      <c r="H44" s="34"/>
    </row>
    <row r="45" spans="1:10" x14ac:dyDescent="0.3">
      <c r="A45" s="6">
        <f t="shared" si="11"/>
        <v>46208</v>
      </c>
      <c r="B45" s="381">
        <f t="shared" si="12"/>
        <v>25162.400761643839</v>
      </c>
      <c r="C45" s="381">
        <f t="shared" si="12"/>
        <v>2290.6280547945207</v>
      </c>
      <c r="D45" s="381">
        <f t="shared" si="12"/>
        <v>13995.199313380821</v>
      </c>
      <c r="E45" s="381">
        <f t="shared" si="12"/>
        <v>10955.5773830137</v>
      </c>
      <c r="F45" s="35">
        <f t="shared" si="13"/>
        <v>52403.805512832885</v>
      </c>
    </row>
    <row r="46" spans="1:10" x14ac:dyDescent="0.3">
      <c r="A46" s="6">
        <f t="shared" si="11"/>
        <v>46209</v>
      </c>
      <c r="B46" s="381">
        <f t="shared" si="12"/>
        <v>25162.400761643839</v>
      </c>
      <c r="C46" s="381">
        <f t="shared" si="12"/>
        <v>2290.6280547945207</v>
      </c>
      <c r="D46" s="381">
        <f t="shared" si="12"/>
        <v>13995.199313380821</v>
      </c>
      <c r="E46" s="381">
        <f t="shared" si="12"/>
        <v>10955.5773830137</v>
      </c>
      <c r="F46" s="35">
        <f t="shared" si="13"/>
        <v>52403.805512832885</v>
      </c>
    </row>
    <row r="47" spans="1:10" x14ac:dyDescent="0.3">
      <c r="A47" s="6">
        <f t="shared" si="11"/>
        <v>46210</v>
      </c>
      <c r="B47" s="381">
        <f t="shared" si="12"/>
        <v>25162.400761643839</v>
      </c>
      <c r="C47" s="381">
        <f t="shared" si="12"/>
        <v>2290.6280547945207</v>
      </c>
      <c r="D47" s="381">
        <f t="shared" si="12"/>
        <v>13995.199313380821</v>
      </c>
      <c r="E47" s="381">
        <f t="shared" si="12"/>
        <v>10955.5773830137</v>
      </c>
      <c r="F47" s="35">
        <f t="shared" si="13"/>
        <v>52403.805512832885</v>
      </c>
    </row>
    <row r="48" spans="1:10" x14ac:dyDescent="0.3">
      <c r="A48" s="6">
        <f t="shared" si="11"/>
        <v>46211</v>
      </c>
      <c r="B48" s="381">
        <f t="shared" si="12"/>
        <v>25162.400761643839</v>
      </c>
      <c r="C48" s="381">
        <f t="shared" si="12"/>
        <v>2290.6280547945207</v>
      </c>
      <c r="D48" s="381">
        <f t="shared" si="12"/>
        <v>13995.199313380821</v>
      </c>
      <c r="E48" s="381">
        <f t="shared" si="12"/>
        <v>10955.5773830137</v>
      </c>
      <c r="F48" s="35">
        <f t="shared" si="13"/>
        <v>52403.805512832885</v>
      </c>
    </row>
    <row r="49" spans="1:6" x14ac:dyDescent="0.3">
      <c r="A49" s="6">
        <f t="shared" si="11"/>
        <v>46212</v>
      </c>
      <c r="B49" s="381">
        <f t="shared" si="12"/>
        <v>25162.400761643839</v>
      </c>
      <c r="C49" s="381">
        <f t="shared" si="12"/>
        <v>2290.6280547945207</v>
      </c>
      <c r="D49" s="381">
        <f t="shared" si="12"/>
        <v>13995.199313380821</v>
      </c>
      <c r="E49" s="381">
        <f t="shared" si="12"/>
        <v>10955.5773830137</v>
      </c>
      <c r="F49" s="35">
        <f t="shared" si="13"/>
        <v>52403.805512832885</v>
      </c>
    </row>
    <row r="50" spans="1:6" x14ac:dyDescent="0.3">
      <c r="A50" s="6">
        <f t="shared" si="11"/>
        <v>46213</v>
      </c>
      <c r="B50" s="381">
        <f t="shared" si="12"/>
        <v>25162.400761643839</v>
      </c>
      <c r="C50" s="381">
        <f t="shared" si="12"/>
        <v>2290.6280547945207</v>
      </c>
      <c r="D50" s="381">
        <f t="shared" si="12"/>
        <v>13995.199313380821</v>
      </c>
      <c r="E50" s="381">
        <f t="shared" si="12"/>
        <v>10955.5773830137</v>
      </c>
      <c r="F50" s="35">
        <f t="shared" si="13"/>
        <v>52403.805512832885</v>
      </c>
    </row>
    <row r="51" spans="1:6" x14ac:dyDescent="0.3">
      <c r="A51" s="6">
        <f t="shared" si="11"/>
        <v>46214</v>
      </c>
      <c r="B51" s="381">
        <f t="shared" si="12"/>
        <v>25162.400761643839</v>
      </c>
      <c r="C51" s="381">
        <f t="shared" si="12"/>
        <v>2290.6280547945207</v>
      </c>
      <c r="D51" s="381">
        <f t="shared" si="12"/>
        <v>13995.199313380821</v>
      </c>
      <c r="E51" s="381">
        <f t="shared" si="12"/>
        <v>10955.5773830137</v>
      </c>
      <c r="F51" s="35">
        <f t="shared" si="13"/>
        <v>52403.805512832885</v>
      </c>
    </row>
    <row r="52" spans="1:6" x14ac:dyDescent="0.3">
      <c r="A52" s="6">
        <f t="shared" si="11"/>
        <v>46215</v>
      </c>
      <c r="B52" s="381">
        <f t="shared" si="12"/>
        <v>25162.400761643839</v>
      </c>
      <c r="C52" s="381">
        <f t="shared" si="12"/>
        <v>2290.6280547945207</v>
      </c>
      <c r="D52" s="381">
        <f t="shared" si="12"/>
        <v>13995.199313380821</v>
      </c>
      <c r="E52" s="381">
        <f t="shared" si="12"/>
        <v>10955.5773830137</v>
      </c>
      <c r="F52" s="35">
        <f t="shared" si="13"/>
        <v>52403.805512832885</v>
      </c>
    </row>
    <row r="53" spans="1:6" x14ac:dyDescent="0.3">
      <c r="A53" s="6">
        <f t="shared" si="11"/>
        <v>46216</v>
      </c>
      <c r="B53" s="381">
        <f t="shared" si="12"/>
        <v>25162.400761643839</v>
      </c>
      <c r="C53" s="381">
        <f t="shared" si="12"/>
        <v>2290.6280547945207</v>
      </c>
      <c r="D53" s="381">
        <f t="shared" si="12"/>
        <v>13995.199313380821</v>
      </c>
      <c r="E53" s="381">
        <f t="shared" si="12"/>
        <v>10955.5773830137</v>
      </c>
      <c r="F53" s="35">
        <f t="shared" si="13"/>
        <v>52403.805512832885</v>
      </c>
    </row>
    <row r="54" spans="1:6" x14ac:dyDescent="0.3">
      <c r="A54" s="6">
        <f t="shared" si="11"/>
        <v>46217</v>
      </c>
      <c r="B54" s="381">
        <f t="shared" si="12"/>
        <v>25162.400761643839</v>
      </c>
      <c r="C54" s="381">
        <f t="shared" si="12"/>
        <v>2290.6280547945207</v>
      </c>
      <c r="D54" s="381">
        <f t="shared" si="12"/>
        <v>13995.199313380821</v>
      </c>
      <c r="E54" s="381">
        <f t="shared" si="12"/>
        <v>10955.5773830137</v>
      </c>
      <c r="F54" s="35">
        <f t="shared" si="13"/>
        <v>52403.805512832885</v>
      </c>
    </row>
    <row r="55" spans="1:6" x14ac:dyDescent="0.3">
      <c r="A55" s="6">
        <f t="shared" si="11"/>
        <v>46218</v>
      </c>
      <c r="B55" s="381">
        <f t="shared" si="12"/>
        <v>25162.400761643839</v>
      </c>
      <c r="C55" s="381">
        <f t="shared" si="12"/>
        <v>2290.6280547945207</v>
      </c>
      <c r="D55" s="381">
        <f t="shared" si="12"/>
        <v>13995.199313380821</v>
      </c>
      <c r="E55" s="381">
        <f t="shared" si="12"/>
        <v>10955.5773830137</v>
      </c>
      <c r="F55" s="35">
        <f t="shared" si="13"/>
        <v>52403.805512832885</v>
      </c>
    </row>
    <row r="56" spans="1:6" x14ac:dyDescent="0.3">
      <c r="A56" s="6">
        <f t="shared" si="11"/>
        <v>46219</v>
      </c>
      <c r="B56" s="381">
        <f t="shared" si="12"/>
        <v>25162.400761643839</v>
      </c>
      <c r="C56" s="381">
        <f t="shared" si="12"/>
        <v>2290.6280547945207</v>
      </c>
      <c r="D56" s="381">
        <f t="shared" si="12"/>
        <v>13995.199313380821</v>
      </c>
      <c r="E56" s="381">
        <f t="shared" si="12"/>
        <v>10955.5773830137</v>
      </c>
      <c r="F56" s="35">
        <f t="shared" si="13"/>
        <v>52403.805512832885</v>
      </c>
    </row>
    <row r="57" spans="1:6" x14ac:dyDescent="0.3">
      <c r="A57" s="6">
        <f t="shared" si="11"/>
        <v>46220</v>
      </c>
      <c r="B57" s="381">
        <f t="shared" si="12"/>
        <v>25162.400761643839</v>
      </c>
      <c r="C57" s="381">
        <f t="shared" si="12"/>
        <v>2290.6280547945207</v>
      </c>
      <c r="D57" s="381">
        <f t="shared" si="12"/>
        <v>13995.199313380821</v>
      </c>
      <c r="E57" s="381">
        <f t="shared" si="12"/>
        <v>10955.5773830137</v>
      </c>
      <c r="F57" s="35">
        <f t="shared" si="13"/>
        <v>52403.805512832885</v>
      </c>
    </row>
    <row r="58" spans="1:6" x14ac:dyDescent="0.3">
      <c r="A58" s="6">
        <f t="shared" si="11"/>
        <v>46221</v>
      </c>
      <c r="B58" s="381">
        <f t="shared" si="12"/>
        <v>25162.400761643839</v>
      </c>
      <c r="C58" s="381">
        <f t="shared" si="12"/>
        <v>2290.6280547945207</v>
      </c>
      <c r="D58" s="381">
        <f t="shared" si="12"/>
        <v>13995.199313380821</v>
      </c>
      <c r="E58" s="381">
        <f t="shared" si="12"/>
        <v>10955.5773830137</v>
      </c>
      <c r="F58" s="35">
        <f t="shared" si="13"/>
        <v>52403.805512832885</v>
      </c>
    </row>
    <row r="59" spans="1:6" x14ac:dyDescent="0.3">
      <c r="A59" s="6">
        <f t="shared" si="11"/>
        <v>46222</v>
      </c>
      <c r="B59" s="381">
        <f t="shared" si="12"/>
        <v>25162.400761643839</v>
      </c>
      <c r="C59" s="381">
        <f t="shared" si="12"/>
        <v>2290.6280547945207</v>
      </c>
      <c r="D59" s="381">
        <f t="shared" si="12"/>
        <v>13995.199313380821</v>
      </c>
      <c r="E59" s="381">
        <f t="shared" si="12"/>
        <v>10955.5773830137</v>
      </c>
      <c r="F59" s="35">
        <f t="shared" si="13"/>
        <v>52403.805512832885</v>
      </c>
    </row>
    <row r="60" spans="1:6" x14ac:dyDescent="0.3">
      <c r="A60" s="6">
        <f t="shared" si="11"/>
        <v>46223</v>
      </c>
      <c r="B60" s="381">
        <f t="shared" si="12"/>
        <v>25162.400761643839</v>
      </c>
      <c r="C60" s="381">
        <f t="shared" si="12"/>
        <v>2290.6280547945207</v>
      </c>
      <c r="D60" s="381">
        <f t="shared" si="12"/>
        <v>13995.199313380821</v>
      </c>
      <c r="E60" s="381">
        <f t="shared" si="12"/>
        <v>10955.5773830137</v>
      </c>
      <c r="F60" s="35">
        <f t="shared" si="13"/>
        <v>52403.805512832885</v>
      </c>
    </row>
    <row r="61" spans="1:6" x14ac:dyDescent="0.3">
      <c r="A61" s="6">
        <f t="shared" si="11"/>
        <v>46224</v>
      </c>
      <c r="B61" s="381">
        <f t="shared" si="12"/>
        <v>25162.400761643839</v>
      </c>
      <c r="C61" s="381">
        <f t="shared" si="12"/>
        <v>2290.6280547945207</v>
      </c>
      <c r="D61" s="381">
        <f t="shared" si="12"/>
        <v>13995.199313380821</v>
      </c>
      <c r="E61" s="381">
        <f t="shared" si="12"/>
        <v>10955.5773830137</v>
      </c>
      <c r="F61" s="35">
        <f t="shared" si="13"/>
        <v>52403.805512832885</v>
      </c>
    </row>
    <row r="62" spans="1:6" x14ac:dyDescent="0.3">
      <c r="A62" s="6">
        <f t="shared" si="11"/>
        <v>46225</v>
      </c>
      <c r="B62" s="381">
        <f t="shared" si="12"/>
        <v>25162.400761643839</v>
      </c>
      <c r="C62" s="381">
        <f t="shared" si="12"/>
        <v>2290.6280547945207</v>
      </c>
      <c r="D62" s="381">
        <f t="shared" si="12"/>
        <v>13995.199313380821</v>
      </c>
      <c r="E62" s="381">
        <f t="shared" si="12"/>
        <v>10955.5773830137</v>
      </c>
      <c r="F62" s="35">
        <f t="shared" si="13"/>
        <v>52403.805512832885</v>
      </c>
    </row>
    <row r="63" spans="1:6" x14ac:dyDescent="0.3">
      <c r="A63" s="6">
        <f t="shared" si="11"/>
        <v>46226</v>
      </c>
      <c r="B63" s="381">
        <f t="shared" si="12"/>
        <v>25162.400761643839</v>
      </c>
      <c r="C63" s="381">
        <f t="shared" si="12"/>
        <v>2290.6280547945207</v>
      </c>
      <c r="D63" s="381">
        <f t="shared" si="12"/>
        <v>13995.199313380821</v>
      </c>
      <c r="E63" s="381">
        <f t="shared" si="12"/>
        <v>10955.5773830137</v>
      </c>
      <c r="F63" s="35">
        <f t="shared" si="13"/>
        <v>52403.805512832885</v>
      </c>
    </row>
    <row r="64" spans="1:6" x14ac:dyDescent="0.3">
      <c r="A64" s="6">
        <f t="shared" si="11"/>
        <v>46227</v>
      </c>
      <c r="B64" s="381">
        <f t="shared" si="12"/>
        <v>25162.400761643839</v>
      </c>
      <c r="C64" s="381">
        <f t="shared" si="12"/>
        <v>2290.6280547945207</v>
      </c>
      <c r="D64" s="381">
        <f t="shared" si="12"/>
        <v>13995.199313380821</v>
      </c>
      <c r="E64" s="381">
        <f t="shared" si="12"/>
        <v>10955.5773830137</v>
      </c>
      <c r="F64" s="35">
        <f t="shared" si="13"/>
        <v>52403.805512832885</v>
      </c>
    </row>
    <row r="65" spans="1:7" x14ac:dyDescent="0.3">
      <c r="A65" s="6">
        <f t="shared" si="11"/>
        <v>46228</v>
      </c>
      <c r="B65" s="381">
        <f t="shared" si="12"/>
        <v>25162.400761643839</v>
      </c>
      <c r="C65" s="381">
        <f t="shared" si="12"/>
        <v>2290.6280547945207</v>
      </c>
      <c r="D65" s="381">
        <f t="shared" si="12"/>
        <v>13995.199313380821</v>
      </c>
      <c r="E65" s="381">
        <f t="shared" si="12"/>
        <v>10955.5773830137</v>
      </c>
      <c r="F65" s="35">
        <f t="shared" si="13"/>
        <v>52403.805512832885</v>
      </c>
    </row>
    <row r="66" spans="1:7" x14ac:dyDescent="0.3">
      <c r="A66" s="6">
        <f t="shared" si="11"/>
        <v>46229</v>
      </c>
      <c r="B66" s="381">
        <f t="shared" si="12"/>
        <v>25162.400761643839</v>
      </c>
      <c r="C66" s="381">
        <f t="shared" si="12"/>
        <v>2290.6280547945207</v>
      </c>
      <c r="D66" s="381">
        <f t="shared" si="12"/>
        <v>13995.199313380821</v>
      </c>
      <c r="E66" s="381">
        <f t="shared" si="12"/>
        <v>10955.5773830137</v>
      </c>
      <c r="F66" s="35">
        <f t="shared" si="13"/>
        <v>52403.805512832885</v>
      </c>
    </row>
    <row r="67" spans="1:7" x14ac:dyDescent="0.3">
      <c r="A67" s="6">
        <f t="shared" si="11"/>
        <v>46230</v>
      </c>
      <c r="B67" s="381">
        <f t="shared" si="12"/>
        <v>25162.400761643839</v>
      </c>
      <c r="C67" s="381">
        <f t="shared" si="12"/>
        <v>2290.6280547945207</v>
      </c>
      <c r="D67" s="381">
        <f t="shared" si="12"/>
        <v>13995.199313380821</v>
      </c>
      <c r="E67" s="381">
        <f t="shared" si="12"/>
        <v>10955.5773830137</v>
      </c>
      <c r="F67" s="35">
        <f t="shared" si="13"/>
        <v>52403.805512832885</v>
      </c>
    </row>
    <row r="68" spans="1:7" x14ac:dyDescent="0.3">
      <c r="A68" s="6">
        <f t="shared" si="11"/>
        <v>46231</v>
      </c>
      <c r="B68" s="381">
        <f t="shared" si="12"/>
        <v>25162.400761643839</v>
      </c>
      <c r="C68" s="381">
        <f t="shared" si="12"/>
        <v>2290.6280547945207</v>
      </c>
      <c r="D68" s="381">
        <f t="shared" si="12"/>
        <v>13995.199313380821</v>
      </c>
      <c r="E68" s="381">
        <f t="shared" si="12"/>
        <v>10955.5773830137</v>
      </c>
      <c r="F68" s="35">
        <f t="shared" si="13"/>
        <v>52403.805512832885</v>
      </c>
    </row>
    <row r="69" spans="1:7" x14ac:dyDescent="0.3">
      <c r="A69" s="6">
        <f t="shared" si="11"/>
        <v>46232</v>
      </c>
      <c r="B69" s="381">
        <f t="shared" si="12"/>
        <v>25162.400761643839</v>
      </c>
      <c r="C69" s="381">
        <f t="shared" si="12"/>
        <v>2290.6280547945207</v>
      </c>
      <c r="D69" s="381">
        <f t="shared" si="12"/>
        <v>13995.199313380821</v>
      </c>
      <c r="E69" s="381">
        <f t="shared" si="12"/>
        <v>10955.5773830137</v>
      </c>
      <c r="F69" s="35">
        <f t="shared" si="13"/>
        <v>52403.805512832885</v>
      </c>
    </row>
    <row r="70" spans="1:7" x14ac:dyDescent="0.3">
      <c r="A70" s="6">
        <f t="shared" si="11"/>
        <v>46233</v>
      </c>
      <c r="B70" s="381">
        <f t="shared" si="12"/>
        <v>25162.400761643839</v>
      </c>
      <c r="C70" s="381">
        <f t="shared" si="12"/>
        <v>2290.6280547945207</v>
      </c>
      <c r="D70" s="381">
        <f t="shared" si="12"/>
        <v>13995.199313380821</v>
      </c>
      <c r="E70" s="381">
        <f t="shared" si="12"/>
        <v>10955.5773830137</v>
      </c>
      <c r="F70" s="35">
        <f t="shared" ref="F70" si="14">SUM(B70:E70)</f>
        <v>52403.805512832885</v>
      </c>
    </row>
    <row r="71" spans="1:7" x14ac:dyDescent="0.3">
      <c r="A71" s="6">
        <f t="shared" ref="A71" si="15">A36</f>
        <v>46234</v>
      </c>
      <c r="B71" s="381">
        <f t="shared" si="12"/>
        <v>25162.400761643839</v>
      </c>
      <c r="C71" s="381">
        <f t="shared" si="12"/>
        <v>2290.6280547945207</v>
      </c>
      <c r="D71" s="381">
        <f t="shared" si="12"/>
        <v>13995.199313380821</v>
      </c>
      <c r="E71" s="381">
        <f t="shared" si="12"/>
        <v>10955.5773830137</v>
      </c>
      <c r="F71" s="35">
        <f t="shared" si="13"/>
        <v>52403.805512832885</v>
      </c>
    </row>
    <row r="72" spans="1:7" x14ac:dyDescent="0.3">
      <c r="A72" s="9" t="s">
        <v>14</v>
      </c>
      <c r="B72" s="98">
        <f>SUM(B41:B71)</f>
        <v>780034.42361095943</v>
      </c>
      <c r="C72" s="98">
        <f>SUM(C41:C71)</f>
        <v>71009.469698630142</v>
      </c>
      <c r="D72" s="98">
        <f>SUM(D41:D71)</f>
        <v>433851.17871480528</v>
      </c>
      <c r="E72" s="98">
        <f>SUM(E41:E71)</f>
        <v>339622.89887342456</v>
      </c>
      <c r="F72" s="702">
        <f>SUM(F41:F71)</f>
        <v>1624517.9708978205</v>
      </c>
    </row>
    <row r="73" spans="1:7" x14ac:dyDescent="0.3">
      <c r="A73" s="954"/>
      <c r="B73" s="954"/>
      <c r="C73" s="954"/>
      <c r="D73" s="954"/>
      <c r="E73" s="954"/>
      <c r="F73" s="954"/>
    </row>
    <row r="74" spans="1:7" x14ac:dyDescent="0.3">
      <c r="A74" s="943" t="s">
        <v>73</v>
      </c>
      <c r="B74" s="943"/>
      <c r="C74" s="943"/>
      <c r="D74" s="943"/>
      <c r="E74" s="943"/>
      <c r="F74" s="943"/>
    </row>
    <row r="75" spans="1:7" s="75" customFormat="1" ht="55.95" customHeight="1" x14ac:dyDescent="0.25">
      <c r="A75" s="397" t="s">
        <v>18</v>
      </c>
      <c r="B75" s="717" t="str">
        <f>B5</f>
        <v>002FATR00207015
(C.D 02.06.2026, M.D 30.09.2026)</v>
      </c>
      <c r="C75" s="717" t="str">
        <f>C5</f>
        <v>002FATR00207300
(C.D 11.06.2026, M.D 09.10.2026)</v>
      </c>
      <c r="D75" s="717" t="str">
        <f>D5</f>
        <v>002FATR00207445
(C.D 17.06.2026, M.D 15.10.2026)</v>
      </c>
      <c r="E75" s="717" t="str">
        <f>E5</f>
        <v>002FATR00207564
(C.D 22.06.2026, M.D 20.10.2026)</v>
      </c>
      <c r="F75" s="417" t="s">
        <v>0</v>
      </c>
    </row>
    <row r="76" spans="1:7" x14ac:dyDescent="0.3">
      <c r="A76" s="12" t="s">
        <v>15</v>
      </c>
      <c r="B76" s="577">
        <v>729709.62208767165</v>
      </c>
      <c r="C76" s="577">
        <v>45812.561095890414</v>
      </c>
      <c r="D76" s="577">
        <v>195932.79038733142</v>
      </c>
      <c r="E76" s="577">
        <v>98600.196447123322</v>
      </c>
      <c r="F76" s="528">
        <f>+SUM(B76:E76)</f>
        <v>1070055.1700180168</v>
      </c>
      <c r="G76" s="139"/>
    </row>
    <row r="77" spans="1:7" x14ac:dyDescent="0.3">
      <c r="A77" s="12" t="s">
        <v>16</v>
      </c>
      <c r="B77" s="330">
        <f>B72</f>
        <v>780034.42361095943</v>
      </c>
      <c r="C77" s="330">
        <f>C72</f>
        <v>71009.469698630142</v>
      </c>
      <c r="D77" s="330">
        <f>D72</f>
        <v>433851.17871480528</v>
      </c>
      <c r="E77" s="330">
        <f>E72</f>
        <v>339622.89887342456</v>
      </c>
      <c r="F77" s="528">
        <f>+SUM(B77:E77)</f>
        <v>1624517.9708978194</v>
      </c>
    </row>
    <row r="78" spans="1:7" x14ac:dyDescent="0.3">
      <c r="A78" s="12" t="s">
        <v>26</v>
      </c>
      <c r="B78" s="715"/>
      <c r="C78" s="715"/>
      <c r="D78" s="715"/>
      <c r="E78" s="715"/>
      <c r="F78" s="528">
        <f>+SUM(B78:E78)</f>
        <v>0</v>
      </c>
    </row>
    <row r="79" spans="1:7" x14ac:dyDescent="0.3">
      <c r="A79" s="638" t="s">
        <v>14</v>
      </c>
      <c r="B79" s="330">
        <f>SUM(B76:B78)</f>
        <v>1509744.0456986311</v>
      </c>
      <c r="C79" s="330">
        <f>SUM(C76:C78)</f>
        <v>116822.03079452056</v>
      </c>
      <c r="D79" s="330">
        <f>SUM(D76:D78)</f>
        <v>629783.96910213667</v>
      </c>
      <c r="E79" s="330">
        <f>SUM(E76:E78)</f>
        <v>438223.09532054787</v>
      </c>
      <c r="F79" s="528">
        <f>+SUM(B79:E79)</f>
        <v>2694573.1409158362</v>
      </c>
    </row>
    <row r="80" spans="1:7" x14ac:dyDescent="0.3">
      <c r="A80" s="979"/>
      <c r="B80" s="979"/>
      <c r="C80" s="979"/>
      <c r="D80" s="979"/>
      <c r="E80" s="979"/>
      <c r="F80" s="979"/>
    </row>
    <row r="81" spans="1:8" x14ac:dyDescent="0.3">
      <c r="A81" s="731" t="s">
        <v>30</v>
      </c>
      <c r="B81" s="330"/>
      <c r="C81" s="330"/>
      <c r="D81" s="330"/>
      <c r="E81" s="330"/>
      <c r="F81" s="732">
        <f>SUM(B81:E81)</f>
        <v>0</v>
      </c>
    </row>
    <row r="82" spans="1:8" x14ac:dyDescent="0.3">
      <c r="A82" s="979"/>
      <c r="B82" s="979"/>
      <c r="C82" s="979"/>
      <c r="D82" s="979"/>
      <c r="E82" s="979"/>
      <c r="F82" s="979"/>
    </row>
    <row r="83" spans="1:8" x14ac:dyDescent="0.3">
      <c r="A83" s="639" t="s">
        <v>4</v>
      </c>
      <c r="B83" s="716"/>
      <c r="C83" s="716"/>
      <c r="D83" s="716"/>
      <c r="E83" s="716"/>
      <c r="F83" s="640"/>
      <c r="H83" s="34"/>
    </row>
    <row r="84" spans="1:8" x14ac:dyDescent="0.3">
      <c r="A84" s="940"/>
      <c r="B84" s="940"/>
      <c r="C84" s="940"/>
      <c r="D84" s="940"/>
      <c r="E84" s="940"/>
      <c r="F84" s="940"/>
    </row>
    <row r="85" spans="1:8" x14ac:dyDescent="0.3">
      <c r="A85" s="28" t="s">
        <v>17</v>
      </c>
      <c r="B85" s="102">
        <f>B72+B83+B78</f>
        <v>780034.42361095943</v>
      </c>
      <c r="C85" s="102">
        <f>C72+C83+C78</f>
        <v>71009.469698630142</v>
      </c>
      <c r="D85" s="102">
        <f>D72+D83+D78</f>
        <v>433851.17871480528</v>
      </c>
      <c r="E85" s="102">
        <f>E72+E83+E78</f>
        <v>339622.89887342456</v>
      </c>
      <c r="F85" s="529">
        <f>SUM(B85:E85)</f>
        <v>1624517.9708978194</v>
      </c>
    </row>
    <row r="86" spans="1:8" s="331" customFormat="1" x14ac:dyDescent="0.3">
      <c r="A86" s="522"/>
      <c r="B86" s="496"/>
      <c r="C86" s="496"/>
      <c r="D86" s="496"/>
      <c r="E86" s="496"/>
      <c r="F86" s="496"/>
    </row>
    <row r="87" spans="1:8" x14ac:dyDescent="0.3">
      <c r="A87" s="99" t="s">
        <v>31</v>
      </c>
      <c r="B87" s="98">
        <f>B79+B83-B81</f>
        <v>1509744.0456986311</v>
      </c>
      <c r="C87" s="98">
        <f>C79+C83-C81</f>
        <v>116822.03079452056</v>
      </c>
      <c r="D87" s="98">
        <f>D79+D83-D81</f>
        <v>629783.96910213667</v>
      </c>
      <c r="E87" s="98">
        <f>E79+E83-E81</f>
        <v>438223.09532054787</v>
      </c>
      <c r="F87" s="530">
        <f>F79+F83-F81</f>
        <v>2694573.1409158362</v>
      </c>
    </row>
    <row r="88" spans="1:8" x14ac:dyDescent="0.3">
      <c r="A88" s="399" t="s">
        <v>254</v>
      </c>
      <c r="B88" s="399">
        <v>30000903</v>
      </c>
      <c r="C88" s="399">
        <v>30000904</v>
      </c>
      <c r="D88" s="399">
        <v>30000909</v>
      </c>
      <c r="E88" s="399">
        <v>30000910</v>
      </c>
      <c r="F88" s="399"/>
    </row>
    <row r="89" spans="1:8" x14ac:dyDescent="0.3">
      <c r="F89" s="34"/>
    </row>
    <row r="91" spans="1:8" x14ac:dyDescent="0.3">
      <c r="A91" s="318" t="s">
        <v>265</v>
      </c>
      <c r="B91" s="399">
        <v>9200000008</v>
      </c>
      <c r="C91" s="399"/>
      <c r="D91" s="399"/>
      <c r="E91" s="399"/>
    </row>
    <row r="92" spans="1:8" x14ac:dyDescent="0.3">
      <c r="A92" s="318" t="s">
        <v>266</v>
      </c>
      <c r="B92" s="399">
        <v>40000000</v>
      </c>
      <c r="C92" s="399"/>
      <c r="D92" s="399"/>
      <c r="E92" s="399"/>
    </row>
  </sheetData>
  <mergeCells count="7">
    <mergeCell ref="A84:F84"/>
    <mergeCell ref="A4:F4"/>
    <mergeCell ref="A38:F38"/>
    <mergeCell ref="A73:F73"/>
    <mergeCell ref="A74:F74"/>
    <mergeCell ref="A80:F80"/>
    <mergeCell ref="A82:F82"/>
  </mergeCells>
  <phoneticPr fontId="10" type="noConversion"/>
  <printOptions horizontalCentered="1" verticalCentered="1"/>
  <pageMargins left="0.25" right="0.25" top="0.5" bottom="0.5" header="0.5" footer="0.5"/>
  <pageSetup scale="52" orientation="portrait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A9A3-FE96-46CB-A1A6-F5C13ED5FFFB}">
  <sheetPr>
    <tabColor theme="0"/>
    <pageSetUpPr fitToPage="1"/>
  </sheetPr>
  <dimension ref="A1:H97"/>
  <sheetViews>
    <sheetView showGridLines="0" view="pageBreakPreview" topLeftCell="A67" zoomScaleNormal="95" zoomScaleSheetLayoutView="100" workbookViewId="0">
      <selection activeCell="B75" sqref="B75:C75"/>
    </sheetView>
  </sheetViews>
  <sheetFormatPr defaultColWidth="8.90625" defaultRowHeight="13.8" x14ac:dyDescent="0.3"/>
  <cols>
    <col min="1" max="1" width="16.1796875" style="3" customWidth="1"/>
    <col min="2" max="3" width="13" style="31" customWidth="1"/>
    <col min="4" max="4" width="13.6328125" style="3" customWidth="1"/>
    <col min="5" max="5" width="12.81640625" style="3" bestFit="1" customWidth="1"/>
    <col min="6" max="6" width="10.1796875" style="3" bestFit="1" customWidth="1"/>
    <col min="7" max="7" width="4.36328125" style="3" customWidth="1"/>
    <col min="8" max="8" width="8.453125" style="3" customWidth="1"/>
    <col min="9" max="16384" width="8.90625" style="3"/>
  </cols>
  <sheetData>
    <row r="1" spans="1:8" ht="18" x14ac:dyDescent="0.35">
      <c r="A1" s="7" t="s">
        <v>35</v>
      </c>
      <c r="B1" s="196"/>
      <c r="C1" s="196"/>
      <c r="D1" s="2"/>
    </row>
    <row r="2" spans="1:8" ht="18.600000000000001" thickBot="1" x14ac:dyDescent="0.4">
      <c r="A2" s="8" t="s">
        <v>213</v>
      </c>
      <c r="B2" s="72"/>
      <c r="C2" s="72"/>
      <c r="D2" s="27">
        <f>'FINANCIAL COST SUMMARY'!K2</f>
        <v>46204</v>
      </c>
    </row>
    <row r="3" spans="1:8" x14ac:dyDescent="0.3">
      <c r="A3" s="4"/>
      <c r="B3" s="197"/>
      <c r="C3" s="197"/>
      <c r="D3" s="49"/>
    </row>
    <row r="4" spans="1:8" x14ac:dyDescent="0.3">
      <c r="A4" s="943" t="s">
        <v>19</v>
      </c>
      <c r="B4" s="943"/>
      <c r="C4" s="943"/>
      <c r="D4" s="943"/>
    </row>
    <row r="5" spans="1:8" s="75" customFormat="1" ht="40.200000000000003" customHeight="1" x14ac:dyDescent="0.25">
      <c r="A5" s="515" t="s">
        <v>2</v>
      </c>
      <c r="B5" s="324" t="s">
        <v>398</v>
      </c>
      <c r="C5" s="324" t="s">
        <v>405</v>
      </c>
      <c r="D5" s="324" t="s">
        <v>0</v>
      </c>
      <c r="F5" s="82"/>
      <c r="H5" s="82"/>
    </row>
    <row r="6" spans="1:8" x14ac:dyDescent="0.3">
      <c r="A6" s="6">
        <v>45839</v>
      </c>
      <c r="B6" s="59">
        <f t="shared" ref="B6:B16" si="0">120960*280.6</f>
        <v>33941376</v>
      </c>
      <c r="C6" s="59">
        <f t="shared" ref="C6:C12" si="1">50680*279.95</f>
        <v>14187866</v>
      </c>
      <c r="D6" s="5">
        <f>SUM(B6:C6)</f>
        <v>48129242</v>
      </c>
      <c r="E6" s="31"/>
      <c r="F6" s="76">
        <v>46181</v>
      </c>
      <c r="G6" s="3">
        <v>120</v>
      </c>
      <c r="H6" s="76">
        <f>F6+G6</f>
        <v>46301</v>
      </c>
    </row>
    <row r="7" spans="1:8" x14ac:dyDescent="0.3">
      <c r="A7" s="6">
        <f>+A6+1</f>
        <v>45840</v>
      </c>
      <c r="B7" s="59">
        <f t="shared" si="0"/>
        <v>33941376</v>
      </c>
      <c r="C7" s="59">
        <f t="shared" si="1"/>
        <v>14187866</v>
      </c>
      <c r="D7" s="5">
        <f t="shared" ref="D7:D34" si="2">SUM(B7:C7)</f>
        <v>48129242</v>
      </c>
      <c r="E7" s="76"/>
      <c r="G7" s="76"/>
      <c r="H7" s="76"/>
    </row>
    <row r="8" spans="1:8" x14ac:dyDescent="0.3">
      <c r="A8" s="6">
        <f t="shared" ref="A8:A36" si="3">+A7+1</f>
        <v>45841</v>
      </c>
      <c r="B8" s="59">
        <f t="shared" si="0"/>
        <v>33941376</v>
      </c>
      <c r="C8" s="59">
        <f t="shared" si="1"/>
        <v>14187866</v>
      </c>
      <c r="D8" s="5">
        <f t="shared" si="2"/>
        <v>48129242</v>
      </c>
    </row>
    <row r="9" spans="1:8" x14ac:dyDescent="0.3">
      <c r="A9" s="6">
        <f t="shared" si="3"/>
        <v>45842</v>
      </c>
      <c r="B9" s="59">
        <f t="shared" si="0"/>
        <v>33941376</v>
      </c>
      <c r="C9" s="59">
        <f t="shared" si="1"/>
        <v>14187866</v>
      </c>
      <c r="D9" s="5">
        <f t="shared" si="2"/>
        <v>48129242</v>
      </c>
    </row>
    <row r="10" spans="1:8" x14ac:dyDescent="0.3">
      <c r="A10" s="6">
        <f t="shared" si="3"/>
        <v>45843</v>
      </c>
      <c r="B10" s="59">
        <f t="shared" si="0"/>
        <v>33941376</v>
      </c>
      <c r="C10" s="59">
        <f t="shared" si="1"/>
        <v>14187866</v>
      </c>
      <c r="D10" s="5">
        <f t="shared" si="2"/>
        <v>48129242</v>
      </c>
    </row>
    <row r="11" spans="1:8" x14ac:dyDescent="0.3">
      <c r="A11" s="6">
        <f t="shared" si="3"/>
        <v>45844</v>
      </c>
      <c r="B11" s="59">
        <f t="shared" si="0"/>
        <v>33941376</v>
      </c>
      <c r="C11" s="59">
        <f t="shared" si="1"/>
        <v>14187866</v>
      </c>
      <c r="D11" s="5">
        <f t="shared" si="2"/>
        <v>48129242</v>
      </c>
    </row>
    <row r="12" spans="1:8" x14ac:dyDescent="0.3">
      <c r="A12" s="6">
        <f t="shared" si="3"/>
        <v>45845</v>
      </c>
      <c r="B12" s="59">
        <f t="shared" si="0"/>
        <v>33941376</v>
      </c>
      <c r="C12" s="59">
        <f t="shared" si="1"/>
        <v>14187866</v>
      </c>
      <c r="D12" s="5">
        <f t="shared" si="2"/>
        <v>48129242</v>
      </c>
      <c r="E12" s="76"/>
      <c r="G12" s="76"/>
    </row>
    <row r="13" spans="1:8" x14ac:dyDescent="0.3">
      <c r="A13" s="6">
        <f t="shared" si="3"/>
        <v>45846</v>
      </c>
      <c r="B13" s="59">
        <f t="shared" si="0"/>
        <v>33941376</v>
      </c>
      <c r="C13" s="59">
        <f>50680*279.95</f>
        <v>14187866</v>
      </c>
      <c r="D13" s="5">
        <f t="shared" si="2"/>
        <v>48129242</v>
      </c>
    </row>
    <row r="14" spans="1:8" x14ac:dyDescent="0.3">
      <c r="A14" s="6">
        <f t="shared" si="3"/>
        <v>45847</v>
      </c>
      <c r="B14" s="59">
        <f t="shared" si="0"/>
        <v>33941376</v>
      </c>
      <c r="C14" s="59">
        <f t="shared" ref="C14:C36" si="4">50680*279.95</f>
        <v>14187866</v>
      </c>
      <c r="D14" s="5">
        <f t="shared" si="2"/>
        <v>48129242</v>
      </c>
    </row>
    <row r="15" spans="1:8" x14ac:dyDescent="0.3">
      <c r="A15" s="6">
        <f t="shared" si="3"/>
        <v>45848</v>
      </c>
      <c r="B15" s="59">
        <f t="shared" si="0"/>
        <v>33941376</v>
      </c>
      <c r="C15" s="59">
        <f t="shared" si="4"/>
        <v>14187866</v>
      </c>
      <c r="D15" s="5">
        <f t="shared" si="2"/>
        <v>48129242</v>
      </c>
    </row>
    <row r="16" spans="1:8" x14ac:dyDescent="0.3">
      <c r="A16" s="6">
        <f t="shared" si="3"/>
        <v>45849</v>
      </c>
      <c r="B16" s="59">
        <f t="shared" si="0"/>
        <v>33941376</v>
      </c>
      <c r="C16" s="59">
        <f t="shared" si="4"/>
        <v>14187866</v>
      </c>
      <c r="D16" s="5">
        <f t="shared" si="2"/>
        <v>48129242</v>
      </c>
    </row>
    <row r="17" spans="1:4" x14ac:dyDescent="0.3">
      <c r="A17" s="6">
        <f t="shared" si="3"/>
        <v>45850</v>
      </c>
      <c r="B17" s="59">
        <f>120960*280.6</f>
        <v>33941376</v>
      </c>
      <c r="C17" s="59">
        <f t="shared" si="4"/>
        <v>14187866</v>
      </c>
      <c r="D17" s="5">
        <f t="shared" si="2"/>
        <v>48129242</v>
      </c>
    </row>
    <row r="18" spans="1:4" x14ac:dyDescent="0.3">
      <c r="A18" s="6">
        <f t="shared" si="3"/>
        <v>45851</v>
      </c>
      <c r="B18" s="59">
        <f t="shared" ref="B18:B36" si="5">120960*280.6</f>
        <v>33941376</v>
      </c>
      <c r="C18" s="59">
        <f t="shared" si="4"/>
        <v>14187866</v>
      </c>
      <c r="D18" s="5">
        <f t="shared" si="2"/>
        <v>48129242</v>
      </c>
    </row>
    <row r="19" spans="1:4" x14ac:dyDescent="0.3">
      <c r="A19" s="6">
        <f t="shared" si="3"/>
        <v>45852</v>
      </c>
      <c r="B19" s="59">
        <f t="shared" si="5"/>
        <v>33941376</v>
      </c>
      <c r="C19" s="59">
        <f t="shared" si="4"/>
        <v>14187866</v>
      </c>
      <c r="D19" s="5">
        <f t="shared" si="2"/>
        <v>48129242</v>
      </c>
    </row>
    <row r="20" spans="1:4" x14ac:dyDescent="0.3">
      <c r="A20" s="6">
        <f t="shared" si="3"/>
        <v>45853</v>
      </c>
      <c r="B20" s="59">
        <f t="shared" si="5"/>
        <v>33941376</v>
      </c>
      <c r="C20" s="59">
        <f t="shared" si="4"/>
        <v>14187866</v>
      </c>
      <c r="D20" s="5">
        <f t="shared" si="2"/>
        <v>48129242</v>
      </c>
    </row>
    <row r="21" spans="1:4" x14ac:dyDescent="0.3">
      <c r="A21" s="6">
        <f t="shared" si="3"/>
        <v>45854</v>
      </c>
      <c r="B21" s="59">
        <f t="shared" si="5"/>
        <v>33941376</v>
      </c>
      <c r="C21" s="59">
        <f t="shared" si="4"/>
        <v>14187866</v>
      </c>
      <c r="D21" s="5">
        <f t="shared" si="2"/>
        <v>48129242</v>
      </c>
    </row>
    <row r="22" spans="1:4" x14ac:dyDescent="0.3">
      <c r="A22" s="6">
        <f t="shared" si="3"/>
        <v>45855</v>
      </c>
      <c r="B22" s="59">
        <f t="shared" si="5"/>
        <v>33941376</v>
      </c>
      <c r="C22" s="59">
        <f t="shared" si="4"/>
        <v>14187866</v>
      </c>
      <c r="D22" s="5">
        <f t="shared" si="2"/>
        <v>48129242</v>
      </c>
    </row>
    <row r="23" spans="1:4" x14ac:dyDescent="0.3">
      <c r="A23" s="6">
        <f t="shared" si="3"/>
        <v>45856</v>
      </c>
      <c r="B23" s="59">
        <f t="shared" si="5"/>
        <v>33941376</v>
      </c>
      <c r="C23" s="59">
        <f t="shared" si="4"/>
        <v>14187866</v>
      </c>
      <c r="D23" s="5">
        <f t="shared" si="2"/>
        <v>48129242</v>
      </c>
    </row>
    <row r="24" spans="1:4" x14ac:dyDescent="0.3">
      <c r="A24" s="6">
        <f t="shared" si="3"/>
        <v>45857</v>
      </c>
      <c r="B24" s="59">
        <f t="shared" si="5"/>
        <v>33941376</v>
      </c>
      <c r="C24" s="59">
        <f t="shared" si="4"/>
        <v>14187866</v>
      </c>
      <c r="D24" s="5">
        <f t="shared" si="2"/>
        <v>48129242</v>
      </c>
    </row>
    <row r="25" spans="1:4" x14ac:dyDescent="0.3">
      <c r="A25" s="6">
        <f t="shared" si="3"/>
        <v>45858</v>
      </c>
      <c r="B25" s="59">
        <f t="shared" si="5"/>
        <v>33941376</v>
      </c>
      <c r="C25" s="59">
        <f t="shared" si="4"/>
        <v>14187866</v>
      </c>
      <c r="D25" s="5">
        <f t="shared" si="2"/>
        <v>48129242</v>
      </c>
    </row>
    <row r="26" spans="1:4" x14ac:dyDescent="0.3">
      <c r="A26" s="6">
        <f t="shared" si="3"/>
        <v>45859</v>
      </c>
      <c r="B26" s="59">
        <f t="shared" si="5"/>
        <v>33941376</v>
      </c>
      <c r="C26" s="59">
        <f t="shared" si="4"/>
        <v>14187866</v>
      </c>
      <c r="D26" s="5">
        <f t="shared" si="2"/>
        <v>48129242</v>
      </c>
    </row>
    <row r="27" spans="1:4" s="331" customFormat="1" x14ac:dyDescent="0.3">
      <c r="A27" s="315">
        <f t="shared" si="3"/>
        <v>45860</v>
      </c>
      <c r="B27" s="59">
        <f t="shared" si="5"/>
        <v>33941376</v>
      </c>
      <c r="C27" s="59">
        <f t="shared" si="4"/>
        <v>14187866</v>
      </c>
      <c r="D27" s="5">
        <f t="shared" si="2"/>
        <v>48129242</v>
      </c>
    </row>
    <row r="28" spans="1:4" x14ac:dyDescent="0.3">
      <c r="A28" s="6">
        <f t="shared" si="3"/>
        <v>45861</v>
      </c>
      <c r="B28" s="59">
        <f t="shared" si="5"/>
        <v>33941376</v>
      </c>
      <c r="C28" s="59">
        <f t="shared" si="4"/>
        <v>14187866</v>
      </c>
      <c r="D28" s="5">
        <f t="shared" si="2"/>
        <v>48129242</v>
      </c>
    </row>
    <row r="29" spans="1:4" x14ac:dyDescent="0.3">
      <c r="A29" s="6">
        <f t="shared" si="3"/>
        <v>45862</v>
      </c>
      <c r="B29" s="59">
        <f t="shared" si="5"/>
        <v>33941376</v>
      </c>
      <c r="C29" s="59">
        <f t="shared" si="4"/>
        <v>14187866</v>
      </c>
      <c r="D29" s="5">
        <f t="shared" si="2"/>
        <v>48129242</v>
      </c>
    </row>
    <row r="30" spans="1:4" x14ac:dyDescent="0.3">
      <c r="A30" s="6">
        <f t="shared" si="3"/>
        <v>45863</v>
      </c>
      <c r="B30" s="59">
        <f t="shared" si="5"/>
        <v>33941376</v>
      </c>
      <c r="C30" s="59">
        <f t="shared" si="4"/>
        <v>14187866</v>
      </c>
      <c r="D30" s="5">
        <f t="shared" si="2"/>
        <v>48129242</v>
      </c>
    </row>
    <row r="31" spans="1:4" x14ac:dyDescent="0.3">
      <c r="A31" s="6">
        <f t="shared" si="3"/>
        <v>45864</v>
      </c>
      <c r="B31" s="59">
        <f t="shared" si="5"/>
        <v>33941376</v>
      </c>
      <c r="C31" s="59">
        <f t="shared" si="4"/>
        <v>14187866</v>
      </c>
      <c r="D31" s="5">
        <f t="shared" si="2"/>
        <v>48129242</v>
      </c>
    </row>
    <row r="32" spans="1:4" x14ac:dyDescent="0.3">
      <c r="A32" s="6">
        <f t="shared" si="3"/>
        <v>45865</v>
      </c>
      <c r="B32" s="59">
        <f t="shared" si="5"/>
        <v>33941376</v>
      </c>
      <c r="C32" s="59">
        <f t="shared" si="4"/>
        <v>14187866</v>
      </c>
      <c r="D32" s="5">
        <f t="shared" si="2"/>
        <v>48129242</v>
      </c>
    </row>
    <row r="33" spans="1:7" x14ac:dyDescent="0.3">
      <c r="A33" s="6">
        <f t="shared" si="3"/>
        <v>45866</v>
      </c>
      <c r="B33" s="59">
        <f t="shared" si="5"/>
        <v>33941376</v>
      </c>
      <c r="C33" s="59">
        <f t="shared" si="4"/>
        <v>14187866</v>
      </c>
      <c r="D33" s="5">
        <f t="shared" si="2"/>
        <v>48129242</v>
      </c>
    </row>
    <row r="34" spans="1:7" x14ac:dyDescent="0.3">
      <c r="A34" s="6">
        <f t="shared" si="3"/>
        <v>45867</v>
      </c>
      <c r="B34" s="59">
        <f t="shared" si="5"/>
        <v>33941376</v>
      </c>
      <c r="C34" s="59">
        <f t="shared" si="4"/>
        <v>14187866</v>
      </c>
      <c r="D34" s="5">
        <f t="shared" si="2"/>
        <v>48129242</v>
      </c>
    </row>
    <row r="35" spans="1:7" x14ac:dyDescent="0.3">
      <c r="A35" s="6">
        <f t="shared" si="3"/>
        <v>45868</v>
      </c>
      <c r="B35" s="59">
        <f t="shared" si="5"/>
        <v>33941376</v>
      </c>
      <c r="C35" s="59">
        <f t="shared" si="4"/>
        <v>14187866</v>
      </c>
      <c r="D35" s="5">
        <f t="shared" ref="D35" si="6">SUM(B35:C35)</f>
        <v>48129242</v>
      </c>
    </row>
    <row r="36" spans="1:7" x14ac:dyDescent="0.3">
      <c r="A36" s="6">
        <f t="shared" si="3"/>
        <v>45869</v>
      </c>
      <c r="B36" s="59">
        <f t="shared" si="5"/>
        <v>33941376</v>
      </c>
      <c r="C36" s="59">
        <f t="shared" si="4"/>
        <v>14187866</v>
      </c>
      <c r="D36" s="5">
        <f t="shared" ref="D36" si="7">SUM(B36:C36)</f>
        <v>48129242</v>
      </c>
    </row>
    <row r="37" spans="1:7" x14ac:dyDescent="0.3">
      <c r="A37" s="943" t="s">
        <v>56</v>
      </c>
      <c r="B37" s="943"/>
      <c r="C37" s="943"/>
      <c r="D37" s="943"/>
    </row>
    <row r="38" spans="1:7" s="75" customFormat="1" ht="56.4" customHeight="1" x14ac:dyDescent="0.25">
      <c r="A38" s="51" t="s">
        <v>2</v>
      </c>
      <c r="B38" s="324" t="str">
        <f>B5</f>
        <v>1015
C.D 12.05.2026, M.D 09.09.2026)</v>
      </c>
      <c r="C38" s="324" t="str">
        <f>C5</f>
        <v xml:space="preserve">
C.D 08.06.2026, M.D 06.10.2026)</v>
      </c>
      <c r="D38" s="324" t="s">
        <v>0</v>
      </c>
    </row>
    <row r="39" spans="1:7" s="91" customFormat="1" ht="41.4" x14ac:dyDescent="0.25">
      <c r="A39" s="375" t="s">
        <v>276</v>
      </c>
      <c r="B39" s="519">
        <f>12.03%+1.25%</f>
        <v>0.1328</v>
      </c>
      <c r="C39" s="519">
        <f>12.48%+1.25%</f>
        <v>0.13730000000000001</v>
      </c>
      <c r="D39" s="90"/>
    </row>
    <row r="40" spans="1:7" x14ac:dyDescent="0.3">
      <c r="A40" s="6">
        <f t="shared" ref="A40:A69" si="8">A6</f>
        <v>45839</v>
      </c>
      <c r="B40" s="5">
        <f t="shared" ref="B40:C70" si="9">IF(B6&lt;0,0,B6*B$39/365)</f>
        <v>12349.081459726029</v>
      </c>
      <c r="C40" s="5">
        <f t="shared" si="9"/>
        <v>5336.9698679452058</v>
      </c>
      <c r="D40" s="5">
        <f>SUM(B40:C40)</f>
        <v>17686.051327671234</v>
      </c>
    </row>
    <row r="41" spans="1:7" x14ac:dyDescent="0.3">
      <c r="A41" s="6">
        <f t="shared" si="8"/>
        <v>45840</v>
      </c>
      <c r="B41" s="5">
        <f t="shared" si="9"/>
        <v>12349.081459726029</v>
      </c>
      <c r="C41" s="5">
        <f t="shared" si="9"/>
        <v>5336.9698679452058</v>
      </c>
      <c r="D41" s="5">
        <f t="shared" ref="D41:D70" si="10">SUM(B41:C41)</f>
        <v>17686.051327671234</v>
      </c>
    </row>
    <row r="42" spans="1:7" x14ac:dyDescent="0.3">
      <c r="A42" s="6">
        <f t="shared" si="8"/>
        <v>45841</v>
      </c>
      <c r="B42" s="5">
        <f t="shared" si="9"/>
        <v>12349.081459726029</v>
      </c>
      <c r="C42" s="5">
        <f t="shared" si="9"/>
        <v>5336.9698679452058</v>
      </c>
      <c r="D42" s="5">
        <f t="shared" si="10"/>
        <v>17686.051327671234</v>
      </c>
    </row>
    <row r="43" spans="1:7" x14ac:dyDescent="0.3">
      <c r="A43" s="6">
        <f t="shared" si="8"/>
        <v>45842</v>
      </c>
      <c r="B43" s="5">
        <f t="shared" si="9"/>
        <v>12349.081459726029</v>
      </c>
      <c r="C43" s="5">
        <f t="shared" si="9"/>
        <v>5336.9698679452058</v>
      </c>
      <c r="D43" s="5">
        <f t="shared" si="10"/>
        <v>17686.051327671234</v>
      </c>
      <c r="F43" s="34"/>
    </row>
    <row r="44" spans="1:7" x14ac:dyDescent="0.3">
      <c r="A44" s="6">
        <f t="shared" si="8"/>
        <v>45843</v>
      </c>
      <c r="B44" s="5">
        <f t="shared" si="9"/>
        <v>12349.081459726029</v>
      </c>
      <c r="C44" s="5">
        <f t="shared" si="9"/>
        <v>5336.9698679452058</v>
      </c>
      <c r="D44" s="5">
        <f t="shared" si="10"/>
        <v>17686.051327671234</v>
      </c>
    </row>
    <row r="45" spans="1:7" x14ac:dyDescent="0.3">
      <c r="A45" s="6">
        <f t="shared" si="8"/>
        <v>45844</v>
      </c>
      <c r="B45" s="5">
        <f t="shared" si="9"/>
        <v>12349.081459726029</v>
      </c>
      <c r="C45" s="5">
        <f t="shared" si="9"/>
        <v>5336.9698679452058</v>
      </c>
      <c r="D45" s="5">
        <f t="shared" si="10"/>
        <v>17686.051327671234</v>
      </c>
    </row>
    <row r="46" spans="1:7" x14ac:dyDescent="0.3">
      <c r="A46" s="6">
        <f t="shared" si="8"/>
        <v>45845</v>
      </c>
      <c r="B46" s="5">
        <f t="shared" si="9"/>
        <v>12349.081459726029</v>
      </c>
      <c r="C46" s="5">
        <f t="shared" si="9"/>
        <v>5336.9698679452058</v>
      </c>
      <c r="D46" s="5">
        <f t="shared" si="10"/>
        <v>17686.051327671234</v>
      </c>
    </row>
    <row r="47" spans="1:7" x14ac:dyDescent="0.3">
      <c r="A47" s="6">
        <f t="shared" si="8"/>
        <v>45846</v>
      </c>
      <c r="B47" s="5">
        <f t="shared" si="9"/>
        <v>12349.081459726029</v>
      </c>
      <c r="C47" s="5">
        <f t="shared" si="9"/>
        <v>5336.9698679452058</v>
      </c>
      <c r="D47" s="5">
        <f t="shared" si="10"/>
        <v>17686.051327671234</v>
      </c>
      <c r="G47" s="257"/>
    </row>
    <row r="48" spans="1:7" x14ac:dyDescent="0.3">
      <c r="A48" s="6">
        <f t="shared" si="8"/>
        <v>45847</v>
      </c>
      <c r="B48" s="5">
        <f t="shared" si="9"/>
        <v>12349.081459726029</v>
      </c>
      <c r="C48" s="5">
        <f t="shared" si="9"/>
        <v>5336.9698679452058</v>
      </c>
      <c r="D48" s="5">
        <f t="shared" si="10"/>
        <v>17686.051327671234</v>
      </c>
    </row>
    <row r="49" spans="1:8" x14ac:dyDescent="0.3">
      <c r="A49" s="6">
        <f t="shared" si="8"/>
        <v>45848</v>
      </c>
      <c r="B49" s="5">
        <f t="shared" si="9"/>
        <v>12349.081459726029</v>
      </c>
      <c r="C49" s="5">
        <f t="shared" si="9"/>
        <v>5336.9698679452058</v>
      </c>
      <c r="D49" s="5">
        <f t="shared" si="10"/>
        <v>17686.051327671234</v>
      </c>
    </row>
    <row r="50" spans="1:8" x14ac:dyDescent="0.3">
      <c r="A50" s="6">
        <f t="shared" si="8"/>
        <v>45849</v>
      </c>
      <c r="B50" s="5">
        <f t="shared" si="9"/>
        <v>12349.081459726029</v>
      </c>
      <c r="C50" s="5">
        <f t="shared" si="9"/>
        <v>5336.9698679452058</v>
      </c>
      <c r="D50" s="5">
        <f t="shared" si="10"/>
        <v>17686.051327671234</v>
      </c>
    </row>
    <row r="51" spans="1:8" x14ac:dyDescent="0.3">
      <c r="A51" s="6">
        <f t="shared" si="8"/>
        <v>45850</v>
      </c>
      <c r="B51" s="5">
        <f t="shared" si="9"/>
        <v>12349.081459726029</v>
      </c>
      <c r="C51" s="5">
        <f t="shared" si="9"/>
        <v>5336.9698679452058</v>
      </c>
      <c r="D51" s="5">
        <f t="shared" si="10"/>
        <v>17686.051327671234</v>
      </c>
    </row>
    <row r="52" spans="1:8" x14ac:dyDescent="0.3">
      <c r="A52" s="6">
        <f t="shared" si="8"/>
        <v>45851</v>
      </c>
      <c r="B52" s="5">
        <f t="shared" si="9"/>
        <v>12349.081459726029</v>
      </c>
      <c r="C52" s="5">
        <f t="shared" si="9"/>
        <v>5336.9698679452058</v>
      </c>
      <c r="D52" s="5">
        <f t="shared" si="10"/>
        <v>17686.051327671234</v>
      </c>
    </row>
    <row r="53" spans="1:8" x14ac:dyDescent="0.3">
      <c r="A53" s="6">
        <f t="shared" si="8"/>
        <v>45852</v>
      </c>
      <c r="B53" s="5">
        <f t="shared" si="9"/>
        <v>12349.081459726029</v>
      </c>
      <c r="C53" s="5">
        <f t="shared" si="9"/>
        <v>5336.9698679452058</v>
      </c>
      <c r="D53" s="5">
        <f t="shared" si="10"/>
        <v>17686.051327671234</v>
      </c>
    </row>
    <row r="54" spans="1:8" x14ac:dyDescent="0.3">
      <c r="A54" s="6">
        <f t="shared" si="8"/>
        <v>45853</v>
      </c>
      <c r="B54" s="5">
        <f t="shared" si="9"/>
        <v>12349.081459726029</v>
      </c>
      <c r="C54" s="5">
        <f t="shared" si="9"/>
        <v>5336.9698679452058</v>
      </c>
      <c r="D54" s="5">
        <f t="shared" si="10"/>
        <v>17686.051327671234</v>
      </c>
    </row>
    <row r="55" spans="1:8" x14ac:dyDescent="0.3">
      <c r="A55" s="6">
        <f t="shared" si="8"/>
        <v>45854</v>
      </c>
      <c r="B55" s="5">
        <f t="shared" si="9"/>
        <v>12349.081459726029</v>
      </c>
      <c r="C55" s="5">
        <f t="shared" si="9"/>
        <v>5336.9698679452058</v>
      </c>
      <c r="D55" s="5">
        <f t="shared" si="10"/>
        <v>17686.051327671234</v>
      </c>
    </row>
    <row r="56" spans="1:8" x14ac:dyDescent="0.3">
      <c r="A56" s="6">
        <f t="shared" si="8"/>
        <v>45855</v>
      </c>
      <c r="B56" s="5">
        <f t="shared" si="9"/>
        <v>12349.081459726029</v>
      </c>
      <c r="C56" s="5">
        <f t="shared" si="9"/>
        <v>5336.9698679452058</v>
      </c>
      <c r="D56" s="5">
        <f t="shared" si="10"/>
        <v>17686.051327671234</v>
      </c>
    </row>
    <row r="57" spans="1:8" x14ac:dyDescent="0.3">
      <c r="A57" s="6">
        <f t="shared" si="8"/>
        <v>45856</v>
      </c>
      <c r="B57" s="5">
        <f t="shared" si="9"/>
        <v>12349.081459726029</v>
      </c>
      <c r="C57" s="5">
        <f t="shared" si="9"/>
        <v>5336.9698679452058</v>
      </c>
      <c r="D57" s="5">
        <f t="shared" si="10"/>
        <v>17686.051327671234</v>
      </c>
    </row>
    <row r="58" spans="1:8" x14ac:dyDescent="0.3">
      <c r="A58" s="6">
        <f t="shared" si="8"/>
        <v>45857</v>
      </c>
      <c r="B58" s="5">
        <f t="shared" si="9"/>
        <v>12349.081459726029</v>
      </c>
      <c r="C58" s="5">
        <f t="shared" si="9"/>
        <v>5336.9698679452058</v>
      </c>
      <c r="D58" s="5">
        <f t="shared" si="10"/>
        <v>17686.051327671234</v>
      </c>
    </row>
    <row r="59" spans="1:8" x14ac:dyDescent="0.3">
      <c r="A59" s="6">
        <f t="shared" si="8"/>
        <v>45858</v>
      </c>
      <c r="B59" s="5">
        <f t="shared" si="9"/>
        <v>12349.081459726029</v>
      </c>
      <c r="C59" s="5">
        <f t="shared" si="9"/>
        <v>5336.9698679452058</v>
      </c>
      <c r="D59" s="5">
        <f t="shared" si="10"/>
        <v>17686.051327671234</v>
      </c>
    </row>
    <row r="60" spans="1:8" x14ac:dyDescent="0.3">
      <c r="A60" s="6">
        <f t="shared" si="8"/>
        <v>45859</v>
      </c>
      <c r="B60" s="5">
        <f t="shared" si="9"/>
        <v>12349.081459726029</v>
      </c>
      <c r="C60" s="5">
        <f t="shared" si="9"/>
        <v>5336.9698679452058</v>
      </c>
      <c r="D60" s="5">
        <f t="shared" si="10"/>
        <v>17686.051327671234</v>
      </c>
    </row>
    <row r="61" spans="1:8" x14ac:dyDescent="0.3">
      <c r="A61" s="6">
        <f t="shared" si="8"/>
        <v>45860</v>
      </c>
      <c r="B61" s="5">
        <f t="shared" si="9"/>
        <v>12349.081459726029</v>
      </c>
      <c r="C61" s="5">
        <f t="shared" si="9"/>
        <v>5336.9698679452058</v>
      </c>
      <c r="D61" s="5">
        <f t="shared" si="10"/>
        <v>17686.051327671234</v>
      </c>
    </row>
    <row r="62" spans="1:8" x14ac:dyDescent="0.3">
      <c r="A62" s="6">
        <f t="shared" si="8"/>
        <v>45861</v>
      </c>
      <c r="B62" s="5">
        <f t="shared" si="9"/>
        <v>12349.081459726029</v>
      </c>
      <c r="C62" s="5">
        <f t="shared" si="9"/>
        <v>5336.9698679452058</v>
      </c>
      <c r="D62" s="5">
        <f t="shared" si="10"/>
        <v>17686.051327671234</v>
      </c>
    </row>
    <row r="63" spans="1:8" x14ac:dyDescent="0.3">
      <c r="A63" s="6">
        <f t="shared" si="8"/>
        <v>45862</v>
      </c>
      <c r="B63" s="5">
        <f t="shared" si="9"/>
        <v>12349.081459726029</v>
      </c>
      <c r="C63" s="5">
        <f t="shared" si="9"/>
        <v>5336.9698679452058</v>
      </c>
      <c r="D63" s="5">
        <f t="shared" si="10"/>
        <v>17686.051327671234</v>
      </c>
      <c r="H63" s="34"/>
    </row>
    <row r="64" spans="1:8" x14ac:dyDescent="0.3">
      <c r="A64" s="6">
        <f t="shared" si="8"/>
        <v>45863</v>
      </c>
      <c r="B64" s="5">
        <f t="shared" si="9"/>
        <v>12349.081459726029</v>
      </c>
      <c r="C64" s="5">
        <f t="shared" si="9"/>
        <v>5336.9698679452058</v>
      </c>
      <c r="D64" s="5">
        <f t="shared" si="10"/>
        <v>17686.051327671234</v>
      </c>
      <c r="F64" s="257"/>
    </row>
    <row r="65" spans="1:7" x14ac:dyDescent="0.3">
      <c r="A65" s="6">
        <f t="shared" si="8"/>
        <v>45864</v>
      </c>
      <c r="B65" s="5">
        <f t="shared" si="9"/>
        <v>12349.081459726029</v>
      </c>
      <c r="C65" s="5">
        <f t="shared" si="9"/>
        <v>5336.9698679452058</v>
      </c>
      <c r="D65" s="5">
        <f t="shared" si="10"/>
        <v>17686.051327671234</v>
      </c>
    </row>
    <row r="66" spans="1:7" x14ac:dyDescent="0.3">
      <c r="A66" s="6">
        <f t="shared" si="8"/>
        <v>45865</v>
      </c>
      <c r="B66" s="5">
        <f t="shared" si="9"/>
        <v>12349.081459726029</v>
      </c>
      <c r="C66" s="5">
        <f t="shared" si="9"/>
        <v>5336.9698679452058</v>
      </c>
      <c r="D66" s="5">
        <f t="shared" si="10"/>
        <v>17686.051327671234</v>
      </c>
      <c r="G66" s="257"/>
    </row>
    <row r="67" spans="1:7" x14ac:dyDescent="0.3">
      <c r="A67" s="6">
        <f t="shared" si="8"/>
        <v>45866</v>
      </c>
      <c r="B67" s="5">
        <f t="shared" si="9"/>
        <v>12349.081459726029</v>
      </c>
      <c r="C67" s="5">
        <f t="shared" si="9"/>
        <v>5336.9698679452058</v>
      </c>
      <c r="D67" s="5">
        <f t="shared" si="10"/>
        <v>17686.051327671234</v>
      </c>
      <c r="G67" s="257"/>
    </row>
    <row r="68" spans="1:7" x14ac:dyDescent="0.3">
      <c r="A68" s="6">
        <f t="shared" si="8"/>
        <v>45867</v>
      </c>
      <c r="B68" s="5">
        <f t="shared" si="9"/>
        <v>12349.081459726029</v>
      </c>
      <c r="C68" s="5">
        <f t="shared" si="9"/>
        <v>5336.9698679452058</v>
      </c>
      <c r="D68" s="5">
        <f t="shared" si="10"/>
        <v>17686.051327671234</v>
      </c>
      <c r="G68" s="257"/>
    </row>
    <row r="69" spans="1:7" x14ac:dyDescent="0.3">
      <c r="A69" s="6">
        <f t="shared" si="8"/>
        <v>45868</v>
      </c>
      <c r="B69" s="5">
        <f t="shared" si="9"/>
        <v>12349.081459726029</v>
      </c>
      <c r="C69" s="5">
        <f t="shared" si="9"/>
        <v>5336.9698679452058</v>
      </c>
      <c r="D69" s="5">
        <f t="shared" ref="D69" si="11">SUM(B69:C69)</f>
        <v>17686.051327671234</v>
      </c>
      <c r="G69" s="257"/>
    </row>
    <row r="70" spans="1:7" x14ac:dyDescent="0.3">
      <c r="A70" s="6">
        <f t="shared" ref="A70" si="12">A36</f>
        <v>45869</v>
      </c>
      <c r="B70" s="5">
        <f t="shared" si="9"/>
        <v>12349.081459726029</v>
      </c>
      <c r="C70" s="5">
        <f t="shared" si="9"/>
        <v>5336.9698679452058</v>
      </c>
      <c r="D70" s="5">
        <f t="shared" si="10"/>
        <v>17686.051327671234</v>
      </c>
      <c r="G70" s="257"/>
    </row>
    <row r="71" spans="1:7" x14ac:dyDescent="0.3">
      <c r="A71" s="9" t="s">
        <v>14</v>
      </c>
      <c r="B71" s="10">
        <f>SUM(B40:B70)</f>
        <v>382821.52525150694</v>
      </c>
      <c r="C71" s="10">
        <f>SUM(C40:C70)</f>
        <v>165446.06590630149</v>
      </c>
      <c r="D71" s="10">
        <f>SUM(D40:D70)</f>
        <v>548267.59115780808</v>
      </c>
    </row>
    <row r="72" spans="1:7" x14ac:dyDescent="0.3">
      <c r="A72" s="954"/>
      <c r="B72" s="954"/>
      <c r="C72" s="954"/>
      <c r="D72" s="954"/>
    </row>
    <row r="73" spans="1:7" x14ac:dyDescent="0.3">
      <c r="A73" s="943" t="s">
        <v>73</v>
      </c>
      <c r="B73" s="943"/>
      <c r="C73" s="943"/>
      <c r="D73" s="943"/>
    </row>
    <row r="74" spans="1:7" s="75" customFormat="1" ht="55.95" customHeight="1" x14ac:dyDescent="0.25">
      <c r="A74" s="51" t="s">
        <v>18</v>
      </c>
      <c r="B74" s="520" t="str">
        <f>B5</f>
        <v>1015
C.D 12.05.2026, M.D 09.09.2026)</v>
      </c>
      <c r="C74" s="520" t="str">
        <f>C5</f>
        <v xml:space="preserve">
C.D 08.06.2026, M.D 06.10.2026)</v>
      </c>
      <c r="D74" s="520" t="s">
        <v>0</v>
      </c>
    </row>
    <row r="75" spans="1:7" x14ac:dyDescent="0.3">
      <c r="A75" s="12" t="s">
        <v>15</v>
      </c>
      <c r="B75" s="576">
        <v>617454.0729863015</v>
      </c>
      <c r="C75" s="576">
        <v>122750.30696273979</v>
      </c>
      <c r="D75" s="418">
        <f>SUM(B75:C75)</f>
        <v>740204.37994904129</v>
      </c>
      <c r="E75" s="139"/>
    </row>
    <row r="76" spans="1:7" x14ac:dyDescent="0.3">
      <c r="A76" s="12" t="s">
        <v>16</v>
      </c>
      <c r="B76" s="13">
        <f>B71</f>
        <v>382821.52525150694</v>
      </c>
      <c r="C76" s="13">
        <f>C71</f>
        <v>165446.06590630149</v>
      </c>
      <c r="D76" s="418">
        <f>SUM(B76:C76)</f>
        <v>548267.59115780843</v>
      </c>
    </row>
    <row r="77" spans="1:7" x14ac:dyDescent="0.3">
      <c r="A77" s="12" t="s">
        <v>26</v>
      </c>
      <c r="B77" s="323"/>
      <c r="C77" s="323"/>
      <c r="D77" s="418">
        <f>SUM(B77:C77)</f>
        <v>0</v>
      </c>
    </row>
    <row r="78" spans="1:7" x14ac:dyDescent="0.3">
      <c r="A78" s="11" t="s">
        <v>14</v>
      </c>
      <c r="B78" s="13">
        <f>SUM(B75:B77)</f>
        <v>1000275.5982378084</v>
      </c>
      <c r="C78" s="13">
        <f>SUM(C75:C77)</f>
        <v>288196.37286904128</v>
      </c>
      <c r="D78" s="418">
        <f>SUM(B78:C78)</f>
        <v>1288471.9711068496</v>
      </c>
    </row>
    <row r="79" spans="1:7" x14ac:dyDescent="0.3">
      <c r="A79" s="939"/>
      <c r="B79" s="940"/>
      <c r="C79" s="940"/>
      <c r="D79" s="939"/>
    </row>
    <row r="80" spans="1:7" ht="17.399999999999999" x14ac:dyDescent="0.3">
      <c r="A80" s="12" t="s">
        <v>30</v>
      </c>
      <c r="B80" s="44">
        <v>0</v>
      </c>
      <c r="C80" s="44">
        <v>0</v>
      </c>
      <c r="D80" s="13">
        <f>SUM(B80:C80)</f>
        <v>0</v>
      </c>
      <c r="E80" s="707"/>
      <c r="F80" s="325"/>
    </row>
    <row r="81" spans="1:6" x14ac:dyDescent="0.3">
      <c r="A81" s="940"/>
      <c r="B81" s="940"/>
      <c r="C81" s="940"/>
      <c r="D81" s="940"/>
    </row>
    <row r="82" spans="1:6" x14ac:dyDescent="0.3">
      <c r="A82" s="12" t="s">
        <v>4</v>
      </c>
      <c r="B82" s="44"/>
      <c r="C82" s="44"/>
      <c r="D82" s="13"/>
      <c r="F82" s="34"/>
    </row>
    <row r="83" spans="1:6" x14ac:dyDescent="0.3">
      <c r="A83" s="940"/>
      <c r="B83" s="940"/>
      <c r="C83" s="940"/>
      <c r="D83" s="940"/>
    </row>
    <row r="84" spans="1:6" x14ac:dyDescent="0.3">
      <c r="A84" s="28" t="s">
        <v>17</v>
      </c>
      <c r="B84" s="29">
        <f>B71+B82+B77</f>
        <v>382821.52525150694</v>
      </c>
      <c r="C84" s="29">
        <f>C71+C82+C77</f>
        <v>165446.06590630149</v>
      </c>
      <c r="D84" s="29">
        <f>SUM(B84:C84)</f>
        <v>548267.59115780843</v>
      </c>
    </row>
    <row r="85" spans="1:6" x14ac:dyDescent="0.3">
      <c r="A85" s="940"/>
      <c r="B85" s="940"/>
      <c r="C85" s="940"/>
      <c r="D85" s="940"/>
    </row>
    <row r="86" spans="1:6" x14ac:dyDescent="0.3">
      <c r="A86" s="99" t="s">
        <v>31</v>
      </c>
      <c r="B86" s="98">
        <f>B78+B82-B80</f>
        <v>1000275.5982378084</v>
      </c>
      <c r="C86" s="98">
        <f>C78+C82-C80</f>
        <v>288196.37286904128</v>
      </c>
      <c r="D86" s="98">
        <f>D78+D82-D80</f>
        <v>1288471.9711068496</v>
      </c>
    </row>
    <row r="87" spans="1:6" x14ac:dyDescent="0.3">
      <c r="A87" s="322" t="s">
        <v>254</v>
      </c>
      <c r="B87" s="399">
        <v>30000891</v>
      </c>
      <c r="C87" s="399">
        <v>30000905</v>
      </c>
    </row>
    <row r="90" spans="1:6" x14ac:dyDescent="0.3">
      <c r="A90" s="318" t="s">
        <v>265</v>
      </c>
      <c r="B90" s="322">
        <v>9200000020</v>
      </c>
      <c r="C90" s="322"/>
    </row>
    <row r="91" spans="1:6" x14ac:dyDescent="0.3">
      <c r="A91" s="318" t="s">
        <v>266</v>
      </c>
      <c r="B91" s="322">
        <v>40000019</v>
      </c>
      <c r="C91" s="322"/>
    </row>
    <row r="93" spans="1:6" x14ac:dyDescent="0.3">
      <c r="B93" s="573"/>
      <c r="C93" s="573"/>
    </row>
    <row r="94" spans="1:6" x14ac:dyDescent="0.3">
      <c r="B94" s="573"/>
      <c r="C94" s="573"/>
    </row>
    <row r="95" spans="1:6" x14ac:dyDescent="0.3">
      <c r="B95" s="573"/>
      <c r="C95" s="573"/>
    </row>
    <row r="96" spans="1:6" x14ac:dyDescent="0.3">
      <c r="B96" s="573"/>
      <c r="C96" s="573"/>
    </row>
    <row r="97" spans="2:3" x14ac:dyDescent="0.3">
      <c r="B97" s="573"/>
      <c r="C97" s="573"/>
    </row>
  </sheetData>
  <mergeCells count="8">
    <mergeCell ref="A81:D81"/>
    <mergeCell ref="A83:D83"/>
    <mergeCell ref="A85:D85"/>
    <mergeCell ref="A4:D4"/>
    <mergeCell ref="A37:D37"/>
    <mergeCell ref="A72:D72"/>
    <mergeCell ref="A73:D73"/>
    <mergeCell ref="A79:D79"/>
  </mergeCells>
  <phoneticPr fontId="3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1" orientation="portrait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8A33-CCE6-4D9F-A867-8AED54921EAE}">
  <sheetPr>
    <tabColor theme="0"/>
    <pageSetUpPr fitToPage="1"/>
  </sheetPr>
  <dimension ref="A1:M49"/>
  <sheetViews>
    <sheetView showGridLines="0" view="pageBreakPreview" topLeftCell="A18" zoomScaleNormal="100" zoomScaleSheetLayoutView="100" workbookViewId="0">
      <selection activeCell="A36" sqref="A36:XFD36"/>
    </sheetView>
  </sheetViews>
  <sheetFormatPr defaultColWidth="10.6328125" defaultRowHeight="13.8" x14ac:dyDescent="0.3"/>
  <cols>
    <col min="1" max="1" width="9.6328125" style="3" customWidth="1"/>
    <col min="2" max="2" width="12.81640625" style="2" customWidth="1"/>
    <col min="3" max="3" width="10.90625" style="2" bestFit="1" customWidth="1"/>
    <col min="4" max="4" width="11" style="2" customWidth="1"/>
    <col min="5" max="5" width="12" style="2" customWidth="1"/>
    <col min="6" max="6" width="0.90625" style="3" customWidth="1"/>
    <col min="7" max="7" width="7.453125" style="3" customWidth="1"/>
    <col min="8" max="8" width="10.6328125" style="3" customWidth="1"/>
    <col min="9" max="9" width="7.7265625" style="3" customWidth="1"/>
    <col min="10" max="10" width="11.08984375" style="3" customWidth="1"/>
    <col min="11" max="11" width="13.08984375" style="331" bestFit="1" customWidth="1"/>
    <col min="12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349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742">
        <v>0</v>
      </c>
      <c r="L3" s="34"/>
    </row>
    <row r="4" spans="1:13" ht="19.95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62" t="s">
        <v>168</v>
      </c>
      <c r="H4" s="980" t="s">
        <v>276</v>
      </c>
      <c r="I4" s="976" t="s">
        <v>169</v>
      </c>
      <c r="J4" s="971" t="s">
        <v>170</v>
      </c>
      <c r="M4" s="76"/>
    </row>
    <row r="5" spans="1:13" ht="19.95" customHeight="1" x14ac:dyDescent="0.3">
      <c r="A5" s="958"/>
      <c r="B5" s="961"/>
      <c r="C5" s="67" t="s">
        <v>7</v>
      </c>
      <c r="D5" s="67" t="s">
        <v>8</v>
      </c>
      <c r="E5" s="960"/>
      <c r="G5" s="963"/>
      <c r="H5" s="981"/>
      <c r="I5" s="977"/>
      <c r="J5" s="972"/>
    </row>
    <row r="6" spans="1:13" x14ac:dyDescent="0.3">
      <c r="A6" s="592">
        <v>46204</v>
      </c>
      <c r="B6" s="44">
        <v>0</v>
      </c>
      <c r="C6" s="673"/>
      <c r="D6" s="42"/>
      <c r="E6" s="54">
        <f>SUM(B6:D6)</f>
        <v>0</v>
      </c>
      <c r="F6" s="31"/>
      <c r="G6" s="587">
        <v>1.2500000000000001E-2</v>
      </c>
      <c r="H6" s="588">
        <v>0.1613</v>
      </c>
      <c r="I6" s="589">
        <f>+H6+G6</f>
        <v>0.17380000000000001</v>
      </c>
      <c r="J6" s="313">
        <f>IF(E6&lt;0,0,E6*I6/365)</f>
        <v>0</v>
      </c>
      <c r="K6" s="115">
        <f>+E6-K3</f>
        <v>0</v>
      </c>
    </row>
    <row r="7" spans="1:13" x14ac:dyDescent="0.3">
      <c r="A7" s="592">
        <f>+A6+1</f>
        <v>46205</v>
      </c>
      <c r="B7" s="44">
        <v>0</v>
      </c>
      <c r="C7" s="593"/>
      <c r="D7" s="42"/>
      <c r="E7" s="54">
        <f t="shared" ref="E7:E32" si="0">SUM(B7:D7)</f>
        <v>0</v>
      </c>
      <c r="F7" s="31"/>
      <c r="G7" s="587">
        <v>1.2500000000000001E-2</v>
      </c>
      <c r="H7" s="588">
        <v>0.1613</v>
      </c>
      <c r="I7" s="589">
        <f>+H7+G7</f>
        <v>0.17380000000000001</v>
      </c>
      <c r="J7" s="313">
        <f t="shared" ref="J7:J32" si="1">IF(E7&lt;0,0,E7*I7/365)</f>
        <v>0</v>
      </c>
      <c r="K7" s="115">
        <f>+E7-E6</f>
        <v>0</v>
      </c>
    </row>
    <row r="8" spans="1:13" x14ac:dyDescent="0.3">
      <c r="A8" s="592">
        <f t="shared" ref="A8:A36" si="2">+A7+1</f>
        <v>46206</v>
      </c>
      <c r="B8" s="44">
        <v>0</v>
      </c>
      <c r="C8" s="115"/>
      <c r="D8" s="42"/>
      <c r="E8" s="54">
        <f>SUM(B8:D8)</f>
        <v>0</v>
      </c>
      <c r="F8" s="31"/>
      <c r="G8" s="587">
        <v>1.2500000000000001E-2</v>
      </c>
      <c r="H8" s="588">
        <v>0.1613</v>
      </c>
      <c r="I8" s="589">
        <f t="shared" ref="I8:I31" si="3">+H8+G8</f>
        <v>0.17380000000000001</v>
      </c>
      <c r="J8" s="313">
        <f t="shared" si="1"/>
        <v>0</v>
      </c>
      <c r="K8" s="115">
        <f t="shared" ref="K8:K32" si="4">+E8-E7</f>
        <v>0</v>
      </c>
    </row>
    <row r="9" spans="1:13" x14ac:dyDescent="0.3">
      <c r="A9" s="592">
        <f t="shared" si="2"/>
        <v>46207</v>
      </c>
      <c r="B9" s="44">
        <v>0</v>
      </c>
      <c r="C9" s="674"/>
      <c r="D9" s="42"/>
      <c r="E9" s="54">
        <f>SUM(B9:D9)</f>
        <v>0</v>
      </c>
      <c r="F9" s="31"/>
      <c r="G9" s="587">
        <v>1.2500000000000001E-2</v>
      </c>
      <c r="H9" s="588">
        <v>0.1613</v>
      </c>
      <c r="I9" s="589">
        <f t="shared" si="3"/>
        <v>0.17380000000000001</v>
      </c>
      <c r="J9" s="313">
        <f t="shared" si="1"/>
        <v>0</v>
      </c>
      <c r="K9" s="115">
        <f t="shared" si="4"/>
        <v>0</v>
      </c>
    </row>
    <row r="10" spans="1:13" x14ac:dyDescent="0.3">
      <c r="A10" s="592">
        <f t="shared" si="2"/>
        <v>46208</v>
      </c>
      <c r="B10" s="44">
        <v>0</v>
      </c>
      <c r="C10" s="541"/>
      <c r="D10" s="591"/>
      <c r="E10" s="54">
        <f t="shared" si="0"/>
        <v>0</v>
      </c>
      <c r="F10" s="31"/>
      <c r="G10" s="587">
        <v>1.2500000000000001E-2</v>
      </c>
      <c r="H10" s="588">
        <v>0.1613</v>
      </c>
      <c r="I10" s="589">
        <f t="shared" si="3"/>
        <v>0.17380000000000001</v>
      </c>
      <c r="J10" s="313">
        <f t="shared" si="1"/>
        <v>0</v>
      </c>
      <c r="K10" s="115">
        <f t="shared" si="4"/>
        <v>0</v>
      </c>
    </row>
    <row r="11" spans="1:13" x14ac:dyDescent="0.3">
      <c r="A11" s="592">
        <f t="shared" si="2"/>
        <v>46209</v>
      </c>
      <c r="B11" s="44">
        <v>0</v>
      </c>
      <c r="C11" s="675"/>
      <c r="D11" s="591"/>
      <c r="E11" s="54">
        <f>SUM(B11:D11)</f>
        <v>0</v>
      </c>
      <c r="F11" s="31"/>
      <c r="G11" s="587">
        <v>1.2500000000000001E-2</v>
      </c>
      <c r="H11" s="588">
        <v>0.1613</v>
      </c>
      <c r="I11" s="589">
        <f t="shared" si="3"/>
        <v>0.17380000000000001</v>
      </c>
      <c r="J11" s="313">
        <f t="shared" si="1"/>
        <v>0</v>
      </c>
      <c r="K11" s="115">
        <f t="shared" si="4"/>
        <v>0</v>
      </c>
    </row>
    <row r="12" spans="1:13" x14ac:dyDescent="0.3">
      <c r="A12" s="592">
        <f t="shared" si="2"/>
        <v>46210</v>
      </c>
      <c r="B12" s="44">
        <v>0</v>
      </c>
      <c r="C12" s="541"/>
      <c r="D12" s="591"/>
      <c r="E12" s="54">
        <f t="shared" si="0"/>
        <v>0</v>
      </c>
      <c r="F12" s="31"/>
      <c r="G12" s="587">
        <v>1.2500000000000001E-2</v>
      </c>
      <c r="H12" s="588">
        <v>0.1613</v>
      </c>
      <c r="I12" s="589">
        <f t="shared" si="3"/>
        <v>0.17380000000000001</v>
      </c>
      <c r="J12" s="313">
        <f t="shared" si="1"/>
        <v>0</v>
      </c>
      <c r="K12" s="115">
        <f t="shared" si="4"/>
        <v>0</v>
      </c>
    </row>
    <row r="13" spans="1:13" x14ac:dyDescent="0.3">
      <c r="A13" s="592">
        <f t="shared" si="2"/>
        <v>46211</v>
      </c>
      <c r="B13" s="44">
        <v>0</v>
      </c>
      <c r="C13" s="591"/>
      <c r="D13" s="54"/>
      <c r="E13" s="54">
        <f t="shared" si="0"/>
        <v>0</v>
      </c>
      <c r="F13" s="31"/>
      <c r="G13" s="587">
        <v>1.2500000000000001E-2</v>
      </c>
      <c r="H13" s="588">
        <v>0.1613</v>
      </c>
      <c r="I13" s="589">
        <f t="shared" si="3"/>
        <v>0.17380000000000001</v>
      </c>
      <c r="J13" s="313">
        <f t="shared" si="1"/>
        <v>0</v>
      </c>
      <c r="K13" s="115">
        <f t="shared" si="4"/>
        <v>0</v>
      </c>
    </row>
    <row r="14" spans="1:13" x14ac:dyDescent="0.3">
      <c r="A14" s="592">
        <f t="shared" si="2"/>
        <v>46212</v>
      </c>
      <c r="B14" s="44">
        <v>0</v>
      </c>
      <c r="C14" s="591"/>
      <c r="D14" s="54"/>
      <c r="E14" s="54">
        <f t="shared" si="0"/>
        <v>0</v>
      </c>
      <c r="F14" s="31"/>
      <c r="G14" s="587">
        <v>1.2500000000000001E-2</v>
      </c>
      <c r="H14" s="588">
        <v>0.1613</v>
      </c>
      <c r="I14" s="589">
        <f t="shared" si="3"/>
        <v>0.17380000000000001</v>
      </c>
      <c r="J14" s="313">
        <f t="shared" si="1"/>
        <v>0</v>
      </c>
      <c r="K14" s="115">
        <f t="shared" si="4"/>
        <v>0</v>
      </c>
    </row>
    <row r="15" spans="1:13" x14ac:dyDescent="0.3">
      <c r="A15" s="312">
        <f t="shared" si="2"/>
        <v>46213</v>
      </c>
      <c r="B15" s="44">
        <v>0</v>
      </c>
      <c r="C15" s="591"/>
      <c r="D15" s="54"/>
      <c r="E15" s="54">
        <f t="shared" si="0"/>
        <v>0</v>
      </c>
      <c r="F15" s="31"/>
      <c r="G15" s="587">
        <v>1.2500000000000001E-2</v>
      </c>
      <c r="H15" s="588">
        <v>0.1613</v>
      </c>
      <c r="I15" s="589">
        <f t="shared" si="3"/>
        <v>0.17380000000000001</v>
      </c>
      <c r="J15" s="313">
        <f t="shared" si="1"/>
        <v>0</v>
      </c>
      <c r="K15" s="115">
        <f t="shared" si="4"/>
        <v>0</v>
      </c>
    </row>
    <row r="16" spans="1:13" x14ac:dyDescent="0.3">
      <c r="A16" s="312">
        <f t="shared" si="2"/>
        <v>46214</v>
      </c>
      <c r="B16" s="44">
        <v>0</v>
      </c>
      <c r="C16" s="591"/>
      <c r="D16" s="54"/>
      <c r="E16" s="54">
        <f t="shared" si="0"/>
        <v>0</v>
      </c>
      <c r="F16" s="31"/>
      <c r="G16" s="587">
        <v>1.2500000000000001E-2</v>
      </c>
      <c r="H16" s="588">
        <v>0.1613</v>
      </c>
      <c r="I16" s="589">
        <f t="shared" si="3"/>
        <v>0.17380000000000001</v>
      </c>
      <c r="J16" s="313">
        <f t="shared" si="1"/>
        <v>0</v>
      </c>
      <c r="K16" s="115">
        <f t="shared" si="4"/>
        <v>0</v>
      </c>
    </row>
    <row r="17" spans="1:12" x14ac:dyDescent="0.3">
      <c r="A17" s="312">
        <f t="shared" si="2"/>
        <v>46215</v>
      </c>
      <c r="B17" s="44">
        <v>0</v>
      </c>
      <c r="C17" s="54"/>
      <c r="D17" s="54"/>
      <c r="E17" s="54">
        <f t="shared" si="0"/>
        <v>0</v>
      </c>
      <c r="F17" s="31"/>
      <c r="G17" s="587">
        <v>1.2500000000000001E-2</v>
      </c>
      <c r="H17" s="588">
        <v>0.1613</v>
      </c>
      <c r="I17" s="589">
        <f t="shared" si="3"/>
        <v>0.17380000000000001</v>
      </c>
      <c r="J17" s="313">
        <f t="shared" si="1"/>
        <v>0</v>
      </c>
      <c r="K17" s="115">
        <f t="shared" si="4"/>
        <v>0</v>
      </c>
    </row>
    <row r="18" spans="1:12" x14ac:dyDescent="0.3">
      <c r="A18" s="312">
        <f t="shared" si="2"/>
        <v>46216</v>
      </c>
      <c r="B18" s="44">
        <v>0</v>
      </c>
      <c r="C18" s="54"/>
      <c r="D18" s="54"/>
      <c r="E18" s="54">
        <f t="shared" si="0"/>
        <v>0</v>
      </c>
      <c r="F18" s="31"/>
      <c r="G18" s="587">
        <v>1.2500000000000001E-2</v>
      </c>
      <c r="H18" s="588">
        <v>0.1613</v>
      </c>
      <c r="I18" s="589">
        <f t="shared" si="3"/>
        <v>0.17380000000000001</v>
      </c>
      <c r="J18" s="313">
        <f t="shared" si="1"/>
        <v>0</v>
      </c>
      <c r="K18" s="115">
        <f t="shared" si="4"/>
        <v>0</v>
      </c>
    </row>
    <row r="19" spans="1:12" x14ac:dyDescent="0.3">
      <c r="A19" s="312">
        <f t="shared" si="2"/>
        <v>46217</v>
      </c>
      <c r="B19" s="44">
        <v>0</v>
      </c>
      <c r="C19" s="54"/>
      <c r="D19" s="54"/>
      <c r="E19" s="54">
        <f t="shared" si="0"/>
        <v>0</v>
      </c>
      <c r="F19" s="31"/>
      <c r="G19" s="587">
        <v>1.2500000000000001E-2</v>
      </c>
      <c r="H19" s="588">
        <v>0.1613</v>
      </c>
      <c r="I19" s="589">
        <f t="shared" si="3"/>
        <v>0.17380000000000001</v>
      </c>
      <c r="J19" s="313">
        <f t="shared" si="1"/>
        <v>0</v>
      </c>
      <c r="K19" s="115">
        <f t="shared" si="4"/>
        <v>0</v>
      </c>
    </row>
    <row r="20" spans="1:12" x14ac:dyDescent="0.3">
      <c r="A20" s="312">
        <f t="shared" si="2"/>
        <v>46218</v>
      </c>
      <c r="B20" s="44">
        <v>0</v>
      </c>
      <c r="C20" s="43"/>
      <c r="D20" s="54"/>
      <c r="E20" s="54">
        <f t="shared" si="0"/>
        <v>0</v>
      </c>
      <c r="F20" s="31"/>
      <c r="G20" s="587">
        <v>1.2500000000000001E-2</v>
      </c>
      <c r="H20" s="588">
        <v>0.1613</v>
      </c>
      <c r="I20" s="589">
        <f t="shared" si="3"/>
        <v>0.17380000000000001</v>
      </c>
      <c r="J20" s="313">
        <f t="shared" si="1"/>
        <v>0</v>
      </c>
      <c r="K20" s="115">
        <f t="shared" si="4"/>
        <v>0</v>
      </c>
    </row>
    <row r="21" spans="1:12" x14ac:dyDescent="0.3">
      <c r="A21" s="312">
        <f t="shared" si="2"/>
        <v>46219</v>
      </c>
      <c r="B21" s="44">
        <v>0</v>
      </c>
      <c r="C21" s="44"/>
      <c r="D21" s="591"/>
      <c r="E21" s="54">
        <f>SUM(B21:D21)</f>
        <v>0</v>
      </c>
      <c r="F21" s="31"/>
      <c r="G21" s="587">
        <v>1.2500000000000001E-2</v>
      </c>
      <c r="H21" s="588">
        <v>0.1613</v>
      </c>
      <c r="I21" s="589">
        <f t="shared" si="3"/>
        <v>0.17380000000000001</v>
      </c>
      <c r="J21" s="313">
        <f t="shared" si="1"/>
        <v>0</v>
      </c>
      <c r="K21" s="115">
        <f t="shared" si="4"/>
        <v>0</v>
      </c>
    </row>
    <row r="22" spans="1:12" x14ac:dyDescent="0.3">
      <c r="A22" s="312">
        <f t="shared" si="2"/>
        <v>46220</v>
      </c>
      <c r="B22" s="44">
        <v>0</v>
      </c>
      <c r="C22" s="54"/>
      <c r="D22" s="54"/>
      <c r="E22" s="54">
        <f t="shared" si="0"/>
        <v>0</v>
      </c>
      <c r="F22" s="31"/>
      <c r="G22" s="587">
        <v>1.2500000000000001E-2</v>
      </c>
      <c r="H22" s="588">
        <v>0.1613</v>
      </c>
      <c r="I22" s="589">
        <f t="shared" si="3"/>
        <v>0.17380000000000001</v>
      </c>
      <c r="J22" s="313">
        <f t="shared" si="1"/>
        <v>0</v>
      </c>
      <c r="K22" s="115">
        <f t="shared" si="4"/>
        <v>0</v>
      </c>
    </row>
    <row r="23" spans="1:12" x14ac:dyDescent="0.3">
      <c r="A23" s="312">
        <f t="shared" si="2"/>
        <v>46221</v>
      </c>
      <c r="B23" s="44">
        <v>0</v>
      </c>
      <c r="C23" s="591"/>
      <c r="D23" s="54"/>
      <c r="E23" s="54">
        <f t="shared" si="0"/>
        <v>0</v>
      </c>
      <c r="F23" s="31"/>
      <c r="G23" s="587">
        <v>1.2500000000000001E-2</v>
      </c>
      <c r="H23" s="588">
        <v>0.1613</v>
      </c>
      <c r="I23" s="589">
        <f t="shared" si="3"/>
        <v>0.17380000000000001</v>
      </c>
      <c r="J23" s="313">
        <f t="shared" si="1"/>
        <v>0</v>
      </c>
      <c r="K23" s="115">
        <f t="shared" si="4"/>
        <v>0</v>
      </c>
    </row>
    <row r="24" spans="1:12" x14ac:dyDescent="0.3">
      <c r="A24" s="312">
        <f t="shared" si="2"/>
        <v>46222</v>
      </c>
      <c r="B24" s="44">
        <v>0</v>
      </c>
      <c r="C24" s="54"/>
      <c r="D24" s="54"/>
      <c r="E24" s="54">
        <f t="shared" si="0"/>
        <v>0</v>
      </c>
      <c r="F24" s="31"/>
      <c r="G24" s="587">
        <v>1.2500000000000001E-2</v>
      </c>
      <c r="H24" s="588">
        <v>0.1613</v>
      </c>
      <c r="I24" s="589">
        <f t="shared" si="3"/>
        <v>0.17380000000000001</v>
      </c>
      <c r="J24" s="313">
        <f t="shared" si="1"/>
        <v>0</v>
      </c>
      <c r="K24" s="115">
        <f t="shared" si="4"/>
        <v>0</v>
      </c>
    </row>
    <row r="25" spans="1:12" ht="13.2" customHeight="1" x14ac:dyDescent="0.3">
      <c r="A25" s="312">
        <f t="shared" si="2"/>
        <v>46223</v>
      </c>
      <c r="B25" s="44">
        <v>0</v>
      </c>
      <c r="C25" s="54"/>
      <c r="D25" s="54"/>
      <c r="E25" s="54">
        <f t="shared" si="0"/>
        <v>0</v>
      </c>
      <c r="F25" s="31"/>
      <c r="G25" s="587">
        <v>1.2500000000000001E-2</v>
      </c>
      <c r="H25" s="588">
        <v>0.1613</v>
      </c>
      <c r="I25" s="589">
        <f t="shared" si="3"/>
        <v>0.17380000000000001</v>
      </c>
      <c r="J25" s="313">
        <f t="shared" si="1"/>
        <v>0</v>
      </c>
      <c r="K25" s="115">
        <f t="shared" si="4"/>
        <v>0</v>
      </c>
      <c r="L25" s="34"/>
    </row>
    <row r="26" spans="1:12" s="331" customFormat="1" x14ac:dyDescent="0.3">
      <c r="A26" s="315">
        <f t="shared" si="2"/>
        <v>46224</v>
      </c>
      <c r="B26" s="44">
        <v>0</v>
      </c>
      <c r="C26" s="381"/>
      <c r="D26" s="381"/>
      <c r="E26" s="381">
        <f t="shared" si="0"/>
        <v>0</v>
      </c>
      <c r="G26" s="382">
        <v>1.2500000000000001E-2</v>
      </c>
      <c r="H26" s="336">
        <v>0.1613</v>
      </c>
      <c r="I26" s="383">
        <f t="shared" si="3"/>
        <v>0.17380000000000001</v>
      </c>
      <c r="J26" s="385">
        <f t="shared" si="1"/>
        <v>0</v>
      </c>
      <c r="K26" s="332">
        <f t="shared" si="4"/>
        <v>0</v>
      </c>
    </row>
    <row r="27" spans="1:12" x14ac:dyDescent="0.3">
      <c r="A27" s="312">
        <f t="shared" si="2"/>
        <v>46225</v>
      </c>
      <c r="B27" s="44">
        <v>0</v>
      </c>
      <c r="C27" s="54"/>
      <c r="D27" s="54"/>
      <c r="E27" s="54">
        <f t="shared" si="0"/>
        <v>0</v>
      </c>
      <c r="F27" s="31"/>
      <c r="G27" s="587">
        <v>1.2500000000000001E-2</v>
      </c>
      <c r="H27" s="588">
        <v>0.1613</v>
      </c>
      <c r="I27" s="589">
        <f t="shared" si="3"/>
        <v>0.17380000000000001</v>
      </c>
      <c r="J27" s="313">
        <f t="shared" si="1"/>
        <v>0</v>
      </c>
      <c r="K27" s="115">
        <f t="shared" si="4"/>
        <v>0</v>
      </c>
    </row>
    <row r="28" spans="1:12" x14ac:dyDescent="0.3">
      <c r="A28" s="312">
        <f t="shared" si="2"/>
        <v>46226</v>
      </c>
      <c r="B28" s="44">
        <v>0</v>
      </c>
      <c r="C28" s="54"/>
      <c r="D28" s="54"/>
      <c r="E28" s="54">
        <f t="shared" si="0"/>
        <v>0</v>
      </c>
      <c r="F28" s="31"/>
      <c r="G28" s="587">
        <v>1.2500000000000001E-2</v>
      </c>
      <c r="H28" s="588">
        <v>0.1613</v>
      </c>
      <c r="I28" s="589">
        <f t="shared" si="3"/>
        <v>0.17380000000000001</v>
      </c>
      <c r="J28" s="313">
        <f t="shared" si="1"/>
        <v>0</v>
      </c>
      <c r="K28" s="115">
        <f t="shared" si="4"/>
        <v>0</v>
      </c>
      <c r="L28" s="325"/>
    </row>
    <row r="29" spans="1:12" x14ac:dyDescent="0.3">
      <c r="A29" s="312">
        <f t="shared" si="2"/>
        <v>46227</v>
      </c>
      <c r="B29" s="44">
        <v>0</v>
      </c>
      <c r="C29" s="54"/>
      <c r="D29" s="54"/>
      <c r="E29" s="54">
        <f t="shared" si="0"/>
        <v>0</v>
      </c>
      <c r="F29" s="31"/>
      <c r="G29" s="587">
        <v>1.2500000000000001E-2</v>
      </c>
      <c r="H29" s="588">
        <v>0.1613</v>
      </c>
      <c r="I29" s="589">
        <f t="shared" si="3"/>
        <v>0.17380000000000001</v>
      </c>
      <c r="J29" s="313">
        <f t="shared" si="1"/>
        <v>0</v>
      </c>
      <c r="K29" s="114">
        <f>+E29-E28</f>
        <v>0</v>
      </c>
    </row>
    <row r="30" spans="1:12" x14ac:dyDescent="0.3">
      <c r="A30" s="312">
        <f t="shared" si="2"/>
        <v>46228</v>
      </c>
      <c r="B30" s="44">
        <v>0</v>
      </c>
      <c r="C30" s="54"/>
      <c r="D30" s="54"/>
      <c r="E30" s="54">
        <f t="shared" si="0"/>
        <v>0</v>
      </c>
      <c r="F30" s="31"/>
      <c r="G30" s="587">
        <v>1.2500000000000001E-2</v>
      </c>
      <c r="H30" s="588">
        <v>0.1613</v>
      </c>
      <c r="I30" s="589">
        <f t="shared" si="3"/>
        <v>0.17380000000000001</v>
      </c>
      <c r="J30" s="313">
        <f t="shared" si="1"/>
        <v>0</v>
      </c>
      <c r="K30" s="114">
        <f t="shared" si="4"/>
        <v>0</v>
      </c>
    </row>
    <row r="31" spans="1:12" x14ac:dyDescent="0.3">
      <c r="A31" s="312">
        <f t="shared" si="2"/>
        <v>46229</v>
      </c>
      <c r="B31" s="44">
        <v>0</v>
      </c>
      <c r="C31" s="54"/>
      <c r="D31" s="54"/>
      <c r="E31" s="54">
        <f t="shared" si="0"/>
        <v>0</v>
      </c>
      <c r="F31" s="31"/>
      <c r="G31" s="587">
        <v>1.2500000000000001E-2</v>
      </c>
      <c r="H31" s="588">
        <v>0.1613</v>
      </c>
      <c r="I31" s="589">
        <f t="shared" si="3"/>
        <v>0.17380000000000001</v>
      </c>
      <c r="J31" s="313">
        <f t="shared" si="1"/>
        <v>0</v>
      </c>
      <c r="K31" s="114">
        <f t="shared" si="4"/>
        <v>0</v>
      </c>
    </row>
    <row r="32" spans="1:12" x14ac:dyDescent="0.3">
      <c r="A32" s="312">
        <f t="shared" si="2"/>
        <v>46230</v>
      </c>
      <c r="B32" s="44">
        <v>0</v>
      </c>
      <c r="C32" s="54"/>
      <c r="D32" s="54"/>
      <c r="E32" s="54">
        <f t="shared" si="0"/>
        <v>0</v>
      </c>
      <c r="F32" s="31"/>
      <c r="G32" s="587">
        <v>1.2500000000000001E-2</v>
      </c>
      <c r="H32" s="588">
        <v>0.1613</v>
      </c>
      <c r="I32" s="589">
        <f>+H32+G32</f>
        <v>0.17380000000000001</v>
      </c>
      <c r="J32" s="313">
        <f t="shared" si="1"/>
        <v>0</v>
      </c>
      <c r="K32" s="114">
        <f t="shared" si="4"/>
        <v>0</v>
      </c>
    </row>
    <row r="33" spans="1:11" x14ac:dyDescent="0.3">
      <c r="A33" s="312">
        <f t="shared" si="2"/>
        <v>46231</v>
      </c>
      <c r="B33" s="44">
        <v>0</v>
      </c>
      <c r="C33" s="54"/>
      <c r="D33" s="54"/>
      <c r="E33" s="54">
        <f>SUM(B33:D33)</f>
        <v>0</v>
      </c>
      <c r="F33" s="31"/>
      <c r="G33" s="587">
        <v>1.2500000000000001E-2</v>
      </c>
      <c r="H33" s="588">
        <v>0.1613</v>
      </c>
      <c r="I33" s="589">
        <f>+H33+G33</f>
        <v>0.17380000000000001</v>
      </c>
      <c r="J33" s="313">
        <f>IF(E33&lt;0,0,E33*I33/365)</f>
        <v>0</v>
      </c>
      <c r="K33" s="114">
        <f>+E33-E32</f>
        <v>0</v>
      </c>
    </row>
    <row r="34" spans="1:11" x14ac:dyDescent="0.3">
      <c r="A34" s="312">
        <f t="shared" si="2"/>
        <v>46232</v>
      </c>
      <c r="B34" s="44">
        <v>0</v>
      </c>
      <c r="C34" s="54"/>
      <c r="D34" s="54"/>
      <c r="E34" s="54">
        <f>SUM(B34:D34)</f>
        <v>0</v>
      </c>
      <c r="F34" s="31"/>
      <c r="G34" s="587">
        <v>1.2500000000000001E-2</v>
      </c>
      <c r="H34" s="588">
        <v>0.1613</v>
      </c>
      <c r="I34" s="589">
        <f>+H34+G34</f>
        <v>0.17380000000000001</v>
      </c>
      <c r="J34" s="313">
        <f>IF(E34&lt;0,0,E34*I34/365)</f>
        <v>0</v>
      </c>
      <c r="K34" s="114">
        <f>+E34-E33</f>
        <v>0</v>
      </c>
    </row>
    <row r="35" spans="1:11" x14ac:dyDescent="0.3">
      <c r="A35" s="312">
        <f t="shared" si="2"/>
        <v>46233</v>
      </c>
      <c r="B35" s="44">
        <v>0</v>
      </c>
      <c r="C35" s="54"/>
      <c r="D35" s="54"/>
      <c r="E35" s="54">
        <f>SUM(B35:D35)</f>
        <v>0</v>
      </c>
      <c r="F35" s="31"/>
      <c r="G35" s="587">
        <v>1.2500000000000001E-2</v>
      </c>
      <c r="H35" s="588">
        <v>0.1613</v>
      </c>
      <c r="I35" s="589">
        <f>+H35+G35</f>
        <v>0.17380000000000001</v>
      </c>
      <c r="J35" s="313">
        <f>IF(E35&lt;0,0,E35*I35/365)</f>
        <v>0</v>
      </c>
      <c r="K35" s="114">
        <f>+E35-E34</f>
        <v>0</v>
      </c>
    </row>
    <row r="36" spans="1:11" x14ac:dyDescent="0.3">
      <c r="A36" s="312">
        <f t="shared" si="2"/>
        <v>46234</v>
      </c>
      <c r="B36" s="44">
        <v>0</v>
      </c>
      <c r="C36" s="54"/>
      <c r="D36" s="54"/>
      <c r="E36" s="54">
        <f>SUM(B36:D36)</f>
        <v>0</v>
      </c>
      <c r="F36" s="31"/>
      <c r="G36" s="587">
        <v>1.2500000000000001E-2</v>
      </c>
      <c r="H36" s="588">
        <v>0.1613</v>
      </c>
      <c r="I36" s="589">
        <f>+H36+G36</f>
        <v>0.17380000000000001</v>
      </c>
      <c r="J36" s="313">
        <f>IF(E36&lt;0,0,E36*I36/365)</f>
        <v>0</v>
      </c>
      <c r="K36" s="114">
        <f>+E36-E35</f>
        <v>0</v>
      </c>
    </row>
    <row r="37" spans="1:11" ht="18.600000000000001" customHeight="1" x14ac:dyDescent="0.3">
      <c r="G37" s="100"/>
      <c r="H37" s="40"/>
      <c r="I37" s="20"/>
      <c r="J37" s="19">
        <f>SUM(J6:J36)</f>
        <v>0</v>
      </c>
      <c r="K37" s="379"/>
    </row>
    <row r="38" spans="1:11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1" x14ac:dyDescent="0.3">
      <c r="G39" s="965" t="s">
        <v>22</v>
      </c>
      <c r="H39" s="965"/>
      <c r="I39" s="965"/>
    </row>
    <row r="40" spans="1:11" x14ac:dyDescent="0.3">
      <c r="A40" s="1">
        <v>9900000050</v>
      </c>
      <c r="B40" s="1">
        <v>40000039</v>
      </c>
      <c r="G40" s="975"/>
      <c r="H40" s="975"/>
      <c r="I40" s="975"/>
      <c r="J40" s="214" t="s">
        <v>0</v>
      </c>
    </row>
    <row r="41" spans="1:11" x14ac:dyDescent="0.3">
      <c r="G41" s="968" t="s">
        <v>15</v>
      </c>
      <c r="H41" s="968"/>
      <c r="I41" s="968"/>
      <c r="J41" s="307">
        <v>0</v>
      </c>
      <c r="K41" s="139"/>
    </row>
    <row r="42" spans="1:11" ht="15.6" x14ac:dyDescent="0.3">
      <c r="A42" s="720" t="s">
        <v>352</v>
      </c>
      <c r="B42" s="345" t="s">
        <v>350</v>
      </c>
      <c r="G42" s="968" t="s">
        <v>28</v>
      </c>
      <c r="H42" s="968"/>
      <c r="I42" s="968"/>
      <c r="J42" s="241"/>
      <c r="K42" s="514"/>
    </row>
    <row r="43" spans="1:11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</row>
    <row r="44" spans="1:11" x14ac:dyDescent="0.3">
      <c r="G44" s="966"/>
      <c r="H44" s="966"/>
      <c r="I44" s="966"/>
      <c r="J44" s="966"/>
    </row>
    <row r="45" spans="1:11" ht="16.2" customHeight="1" thickBot="1" x14ac:dyDescent="0.35">
      <c r="G45" s="978" t="s">
        <v>199</v>
      </c>
      <c r="H45" s="978"/>
      <c r="I45" s="978"/>
      <c r="J45" s="217">
        <f>J37+J43</f>
        <v>0</v>
      </c>
    </row>
    <row r="46" spans="1:11" x14ac:dyDescent="0.3">
      <c r="G46" s="967"/>
      <c r="H46" s="967"/>
      <c r="I46" s="967"/>
      <c r="J46" s="967"/>
    </row>
    <row r="47" spans="1:11" x14ac:dyDescent="0.3">
      <c r="G47" s="964" t="s">
        <v>31</v>
      </c>
      <c r="H47" s="964"/>
      <c r="I47" s="964"/>
      <c r="J47" s="106">
        <f>J41+J45-J42</f>
        <v>0</v>
      </c>
      <c r="K47" s="416"/>
    </row>
    <row r="48" spans="1:11" x14ac:dyDescent="0.3">
      <c r="J48" s="2"/>
    </row>
    <row r="49" spans="10:10" x14ac:dyDescent="0.3">
      <c r="J49" s="34"/>
    </row>
  </sheetData>
  <mergeCells count="20">
    <mergeCell ref="G44:J44"/>
    <mergeCell ref="G45:I45"/>
    <mergeCell ref="G46:J46"/>
    <mergeCell ref="G47:I47"/>
    <mergeCell ref="A38:J38"/>
    <mergeCell ref="G39:I39"/>
    <mergeCell ref="G40:I40"/>
    <mergeCell ref="G41:I41"/>
    <mergeCell ref="G42:I42"/>
    <mergeCell ref="G43:I43"/>
    <mergeCell ref="A1:J1"/>
    <mergeCell ref="A2:I2"/>
    <mergeCell ref="A3:J3"/>
    <mergeCell ref="A4:A5"/>
    <mergeCell ref="B4:B5"/>
    <mergeCell ref="E4:E5"/>
    <mergeCell ref="G4:G5"/>
    <mergeCell ref="H4:H5"/>
    <mergeCell ref="I4:I5"/>
    <mergeCell ref="J4:J5"/>
  </mergeCells>
  <printOptions horizontalCentered="1" verticalCentered="1"/>
  <pageMargins left="0.74803149606299213" right="0.74803149606299213" top="0.51181102362204722" bottom="0.51181102362204722" header="0.51181102362204722" footer="0.51181102362204722"/>
  <pageSetup scale="77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2EFF-DDB1-4CC3-9C2E-A345B13A784D}">
  <sheetPr>
    <tabColor theme="0"/>
    <pageSetUpPr fitToPage="1"/>
  </sheetPr>
  <dimension ref="A1:M49"/>
  <sheetViews>
    <sheetView showGridLines="0" zoomScaleNormal="100" workbookViewId="0">
      <selection activeCell="A7" sqref="A7"/>
    </sheetView>
  </sheetViews>
  <sheetFormatPr defaultColWidth="10.6328125" defaultRowHeight="13.8" x14ac:dyDescent="0.3"/>
  <cols>
    <col min="1" max="1" width="9.6328125" style="3" customWidth="1"/>
    <col min="2" max="2" width="12.81640625" style="2" customWidth="1"/>
    <col min="3" max="3" width="10.90625" style="2" bestFit="1" customWidth="1"/>
    <col min="4" max="4" width="11" style="2" customWidth="1"/>
    <col min="5" max="5" width="12" style="2" customWidth="1"/>
    <col min="6" max="6" width="0.90625" style="3" customWidth="1"/>
    <col min="7" max="7" width="7.453125" style="3" customWidth="1"/>
    <col min="8" max="8" width="8.6328125" style="331" customWidth="1"/>
    <col min="9" max="9" width="7.7265625" style="3" customWidth="1"/>
    <col min="10" max="10" width="11.08984375" style="3" customWidth="1"/>
    <col min="11" max="11" width="19" style="331" bestFit="1" customWidth="1"/>
    <col min="12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336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355">
        <v>99000000</v>
      </c>
      <c r="M3" s="34"/>
    </row>
    <row r="4" spans="1:13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62" t="s">
        <v>168</v>
      </c>
      <c r="H4" s="976" t="s">
        <v>53</v>
      </c>
      <c r="I4" s="976" t="s">
        <v>169</v>
      </c>
      <c r="J4" s="971" t="s">
        <v>170</v>
      </c>
    </row>
    <row r="5" spans="1:13" x14ac:dyDescent="0.3">
      <c r="A5" s="958"/>
      <c r="B5" s="960"/>
      <c r="C5" s="67" t="s">
        <v>7</v>
      </c>
      <c r="D5" s="67" t="s">
        <v>8</v>
      </c>
      <c r="E5" s="960"/>
      <c r="G5" s="963"/>
      <c r="H5" s="977"/>
      <c r="I5" s="977"/>
      <c r="J5" s="972"/>
    </row>
    <row r="6" spans="1:13" x14ac:dyDescent="0.3">
      <c r="A6" s="312">
        <v>46204</v>
      </c>
      <c r="B6" s="355">
        <v>99000000</v>
      </c>
      <c r="C6" s="586"/>
      <c r="D6" s="42"/>
      <c r="E6" s="54">
        <f>SUM(B6:D6)</f>
        <v>99000000</v>
      </c>
      <c r="F6" s="31"/>
      <c r="G6" s="587">
        <v>7.4999999999999997E-3</v>
      </c>
      <c r="H6" s="336">
        <v>0.1149</v>
      </c>
      <c r="I6" s="589">
        <f>+H6+G6</f>
        <v>0.12240000000000001</v>
      </c>
      <c r="J6" s="313">
        <f>IF(E6&lt;0,0,E6*I6/365)</f>
        <v>33198.904109589042</v>
      </c>
      <c r="K6" s="115">
        <f>+E6-K3</f>
        <v>0</v>
      </c>
    </row>
    <row r="7" spans="1:13" x14ac:dyDescent="0.3">
      <c r="A7" s="312">
        <f>+A6+1</f>
        <v>46205</v>
      </c>
      <c r="B7" s="355">
        <v>99000000</v>
      </c>
      <c r="C7" s="42"/>
      <c r="D7" s="42"/>
      <c r="E7" s="54">
        <f t="shared" ref="E7:E32" si="0">SUM(B7:D7)</f>
        <v>99000000</v>
      </c>
      <c r="F7" s="31"/>
      <c r="G7" s="587">
        <v>7.4999999999999997E-3</v>
      </c>
      <c r="H7" s="336">
        <v>0.1149</v>
      </c>
      <c r="I7" s="589">
        <f>+H7+G7</f>
        <v>0.12240000000000001</v>
      </c>
      <c r="J7" s="313">
        <f t="shared" ref="J7:J32" si="1">IF(E7&lt;0,0,E7*I7/365)</f>
        <v>33198.904109589042</v>
      </c>
      <c r="K7" s="115">
        <f>+E7-E6</f>
        <v>0</v>
      </c>
    </row>
    <row r="8" spans="1:13" x14ac:dyDescent="0.3">
      <c r="A8" s="312">
        <f t="shared" ref="A8:A36" si="2">+A7+1</f>
        <v>46206</v>
      </c>
      <c r="B8" s="355">
        <v>99000000</v>
      </c>
      <c r="C8" s="115"/>
      <c r="D8" s="42"/>
      <c r="E8" s="54">
        <f>SUM(B8:D8)</f>
        <v>99000000</v>
      </c>
      <c r="F8" s="31"/>
      <c r="G8" s="587">
        <v>7.4999999999999997E-3</v>
      </c>
      <c r="H8" s="336">
        <v>0.1149</v>
      </c>
      <c r="I8" s="589">
        <f t="shared" ref="I8:I31" si="3">+H8+G8</f>
        <v>0.12240000000000001</v>
      </c>
      <c r="J8" s="313">
        <f t="shared" si="1"/>
        <v>33198.904109589042</v>
      </c>
      <c r="K8" s="115">
        <f t="shared" ref="K8:K32" si="4">+E8-E7</f>
        <v>0</v>
      </c>
    </row>
    <row r="9" spans="1:13" x14ac:dyDescent="0.3">
      <c r="A9" s="312">
        <f t="shared" si="2"/>
        <v>46207</v>
      </c>
      <c r="B9" s="355">
        <v>99000000</v>
      </c>
      <c r="C9" s="590"/>
      <c r="D9" s="42"/>
      <c r="E9" s="54">
        <f>SUM(B9:D9)</f>
        <v>99000000</v>
      </c>
      <c r="F9" s="31"/>
      <c r="G9" s="587">
        <v>7.4999999999999997E-3</v>
      </c>
      <c r="H9" s="336">
        <v>0.1149</v>
      </c>
      <c r="I9" s="589">
        <f t="shared" si="3"/>
        <v>0.12240000000000001</v>
      </c>
      <c r="J9" s="313">
        <f t="shared" si="1"/>
        <v>33198.904109589042</v>
      </c>
      <c r="K9" s="115">
        <f t="shared" si="4"/>
        <v>0</v>
      </c>
    </row>
    <row r="10" spans="1:13" x14ac:dyDescent="0.3">
      <c r="A10" s="312">
        <f t="shared" si="2"/>
        <v>46208</v>
      </c>
      <c r="B10" s="355">
        <v>99000000</v>
      </c>
      <c r="C10" s="43"/>
      <c r="D10" s="54"/>
      <c r="E10" s="54">
        <f t="shared" si="0"/>
        <v>99000000</v>
      </c>
      <c r="F10" s="31"/>
      <c r="G10" s="587">
        <v>7.4999999999999997E-3</v>
      </c>
      <c r="H10" s="336">
        <v>0.1149</v>
      </c>
      <c r="I10" s="589">
        <f t="shared" si="3"/>
        <v>0.12240000000000001</v>
      </c>
      <c r="J10" s="313">
        <f t="shared" si="1"/>
        <v>33198.904109589042</v>
      </c>
      <c r="K10" s="115">
        <f t="shared" si="4"/>
        <v>0</v>
      </c>
    </row>
    <row r="11" spans="1:13" x14ac:dyDescent="0.3">
      <c r="A11" s="312">
        <f t="shared" si="2"/>
        <v>46209</v>
      </c>
      <c r="B11" s="355">
        <v>99000000</v>
      </c>
      <c r="C11" s="44"/>
      <c r="D11" s="591"/>
      <c r="E11" s="54">
        <f t="shared" si="0"/>
        <v>99000000</v>
      </c>
      <c r="F11" s="31"/>
      <c r="G11" s="587">
        <v>7.4999999999999997E-3</v>
      </c>
      <c r="H11" s="336">
        <v>0.1149</v>
      </c>
      <c r="I11" s="589">
        <f t="shared" si="3"/>
        <v>0.12240000000000001</v>
      </c>
      <c r="J11" s="313">
        <f t="shared" si="1"/>
        <v>33198.904109589042</v>
      </c>
      <c r="K11" s="115">
        <f t="shared" si="4"/>
        <v>0</v>
      </c>
    </row>
    <row r="12" spans="1:13" x14ac:dyDescent="0.3">
      <c r="A12" s="312">
        <f t="shared" si="2"/>
        <v>46210</v>
      </c>
      <c r="B12" s="355">
        <v>99000000</v>
      </c>
      <c r="C12" s="54"/>
      <c r="D12" s="54"/>
      <c r="E12" s="54">
        <f t="shared" si="0"/>
        <v>99000000</v>
      </c>
      <c r="F12" s="31"/>
      <c r="G12" s="587">
        <v>7.4999999999999997E-3</v>
      </c>
      <c r="H12" s="336">
        <v>0.1149</v>
      </c>
      <c r="I12" s="589">
        <f t="shared" si="3"/>
        <v>0.12240000000000001</v>
      </c>
      <c r="J12" s="313">
        <f t="shared" si="1"/>
        <v>33198.904109589042</v>
      </c>
      <c r="K12" s="115">
        <f t="shared" si="4"/>
        <v>0</v>
      </c>
    </row>
    <row r="13" spans="1:13" x14ac:dyDescent="0.3">
      <c r="A13" s="312">
        <f t="shared" si="2"/>
        <v>46211</v>
      </c>
      <c r="B13" s="355">
        <v>99000000</v>
      </c>
      <c r="C13" s="591"/>
      <c r="D13" s="54"/>
      <c r="E13" s="54">
        <f t="shared" si="0"/>
        <v>99000000</v>
      </c>
      <c r="F13" s="31"/>
      <c r="G13" s="587">
        <v>7.4999999999999997E-3</v>
      </c>
      <c r="H13" s="336">
        <v>0.1149</v>
      </c>
      <c r="I13" s="589">
        <f t="shared" si="3"/>
        <v>0.12240000000000001</v>
      </c>
      <c r="J13" s="313">
        <f t="shared" si="1"/>
        <v>33198.904109589042</v>
      </c>
      <c r="K13" s="115">
        <f t="shared" si="4"/>
        <v>0</v>
      </c>
    </row>
    <row r="14" spans="1:13" x14ac:dyDescent="0.3">
      <c r="A14" s="312">
        <f t="shared" si="2"/>
        <v>46212</v>
      </c>
      <c r="B14" s="355">
        <v>99000000</v>
      </c>
      <c r="C14" s="591"/>
      <c r="D14" s="54"/>
      <c r="E14" s="54">
        <f t="shared" si="0"/>
        <v>99000000</v>
      </c>
      <c r="F14" s="31"/>
      <c r="G14" s="587">
        <v>7.4999999999999997E-3</v>
      </c>
      <c r="H14" s="336">
        <v>0.1149</v>
      </c>
      <c r="I14" s="589">
        <f t="shared" si="3"/>
        <v>0.12240000000000001</v>
      </c>
      <c r="J14" s="313">
        <f t="shared" si="1"/>
        <v>33198.904109589042</v>
      </c>
      <c r="K14" s="115">
        <f t="shared" si="4"/>
        <v>0</v>
      </c>
    </row>
    <row r="15" spans="1:13" x14ac:dyDescent="0.3">
      <c r="A15" s="312">
        <f t="shared" si="2"/>
        <v>46213</v>
      </c>
      <c r="B15" s="355">
        <v>99000000</v>
      </c>
      <c r="C15" s="591"/>
      <c r="D15" s="54"/>
      <c r="E15" s="54">
        <f t="shared" si="0"/>
        <v>99000000</v>
      </c>
      <c r="F15" s="31"/>
      <c r="G15" s="587">
        <v>7.4999999999999997E-3</v>
      </c>
      <c r="H15" s="336">
        <v>0.1149</v>
      </c>
      <c r="I15" s="589">
        <f t="shared" si="3"/>
        <v>0.12240000000000001</v>
      </c>
      <c r="J15" s="313">
        <f t="shared" si="1"/>
        <v>33198.904109589042</v>
      </c>
      <c r="K15" s="115">
        <f t="shared" si="4"/>
        <v>0</v>
      </c>
    </row>
    <row r="16" spans="1:13" x14ac:dyDescent="0.3">
      <c r="A16" s="312">
        <f t="shared" si="2"/>
        <v>46214</v>
      </c>
      <c r="B16" s="355">
        <v>99000000</v>
      </c>
      <c r="C16" s="591"/>
      <c r="D16" s="54"/>
      <c r="E16" s="54">
        <f t="shared" si="0"/>
        <v>99000000</v>
      </c>
      <c r="F16" s="31"/>
      <c r="G16" s="587">
        <v>7.4999999999999997E-3</v>
      </c>
      <c r="H16" s="336">
        <v>0.1149</v>
      </c>
      <c r="I16" s="589">
        <f t="shared" si="3"/>
        <v>0.12240000000000001</v>
      </c>
      <c r="J16" s="313">
        <f t="shared" si="1"/>
        <v>33198.904109589042</v>
      </c>
      <c r="K16" s="115">
        <f t="shared" si="4"/>
        <v>0</v>
      </c>
    </row>
    <row r="17" spans="1:11" x14ac:dyDescent="0.3">
      <c r="A17" s="312">
        <f t="shared" si="2"/>
        <v>46215</v>
      </c>
      <c r="B17" s="355">
        <v>99000000</v>
      </c>
      <c r="C17" s="54"/>
      <c r="D17" s="54"/>
      <c r="E17" s="54">
        <f t="shared" si="0"/>
        <v>99000000</v>
      </c>
      <c r="F17" s="31"/>
      <c r="G17" s="587">
        <v>7.4999999999999997E-3</v>
      </c>
      <c r="H17" s="336">
        <v>0.1149</v>
      </c>
      <c r="I17" s="589">
        <f t="shared" si="3"/>
        <v>0.12240000000000001</v>
      </c>
      <c r="J17" s="313">
        <f t="shared" si="1"/>
        <v>33198.904109589042</v>
      </c>
      <c r="K17" s="115">
        <f t="shared" si="4"/>
        <v>0</v>
      </c>
    </row>
    <row r="18" spans="1:11" x14ac:dyDescent="0.3">
      <c r="A18" s="312">
        <f t="shared" si="2"/>
        <v>46216</v>
      </c>
      <c r="B18" s="355">
        <v>99000000</v>
      </c>
      <c r="C18" s="54"/>
      <c r="D18" s="54"/>
      <c r="E18" s="54">
        <f t="shared" si="0"/>
        <v>99000000</v>
      </c>
      <c r="F18" s="31"/>
      <c r="G18" s="587">
        <v>7.4999999999999997E-3</v>
      </c>
      <c r="H18" s="336">
        <v>0.1149</v>
      </c>
      <c r="I18" s="589">
        <f t="shared" si="3"/>
        <v>0.12240000000000001</v>
      </c>
      <c r="J18" s="313">
        <f t="shared" si="1"/>
        <v>33198.904109589042</v>
      </c>
      <c r="K18" s="115">
        <f t="shared" si="4"/>
        <v>0</v>
      </c>
    </row>
    <row r="19" spans="1:11" x14ac:dyDescent="0.3">
      <c r="A19" s="312">
        <f t="shared" si="2"/>
        <v>46217</v>
      </c>
      <c r="B19" s="355">
        <v>99000000</v>
      </c>
      <c r="C19" s="54"/>
      <c r="D19" s="54"/>
      <c r="E19" s="54">
        <f t="shared" si="0"/>
        <v>99000000</v>
      </c>
      <c r="F19" s="31"/>
      <c r="G19" s="587">
        <v>7.4999999999999997E-3</v>
      </c>
      <c r="H19" s="336">
        <v>0.1149</v>
      </c>
      <c r="I19" s="589">
        <f t="shared" si="3"/>
        <v>0.12240000000000001</v>
      </c>
      <c r="J19" s="313">
        <f t="shared" si="1"/>
        <v>33198.904109589042</v>
      </c>
      <c r="K19" s="115">
        <f t="shared" si="4"/>
        <v>0</v>
      </c>
    </row>
    <row r="20" spans="1:11" x14ac:dyDescent="0.3">
      <c r="A20" s="312">
        <f t="shared" si="2"/>
        <v>46218</v>
      </c>
      <c r="B20" s="355">
        <v>99000000</v>
      </c>
      <c r="C20" s="43"/>
      <c r="D20" s="54"/>
      <c r="E20" s="54">
        <f t="shared" si="0"/>
        <v>99000000</v>
      </c>
      <c r="F20" s="31"/>
      <c r="G20" s="587">
        <v>7.4999999999999997E-3</v>
      </c>
      <c r="H20" s="336">
        <v>0.1149</v>
      </c>
      <c r="I20" s="589">
        <f t="shared" si="3"/>
        <v>0.12240000000000001</v>
      </c>
      <c r="J20" s="313">
        <f t="shared" si="1"/>
        <v>33198.904109589042</v>
      </c>
      <c r="K20" s="115">
        <f t="shared" si="4"/>
        <v>0</v>
      </c>
    </row>
    <row r="21" spans="1:11" x14ac:dyDescent="0.3">
      <c r="A21" s="312">
        <f t="shared" si="2"/>
        <v>46219</v>
      </c>
      <c r="B21" s="355">
        <v>99000000</v>
      </c>
      <c r="C21" s="44"/>
      <c r="D21" s="591"/>
      <c r="E21" s="54">
        <f>SUM(B21:D21)</f>
        <v>99000000</v>
      </c>
      <c r="F21" s="31"/>
      <c r="G21" s="587">
        <v>7.4999999999999997E-3</v>
      </c>
      <c r="H21" s="336">
        <v>0.1149</v>
      </c>
      <c r="I21" s="589">
        <f t="shared" si="3"/>
        <v>0.12240000000000001</v>
      </c>
      <c r="J21" s="313">
        <f t="shared" si="1"/>
        <v>33198.904109589042</v>
      </c>
      <c r="K21" s="115">
        <f t="shared" si="4"/>
        <v>0</v>
      </c>
    </row>
    <row r="22" spans="1:11" x14ac:dyDescent="0.3">
      <c r="A22" s="312">
        <f t="shared" si="2"/>
        <v>46220</v>
      </c>
      <c r="B22" s="355">
        <v>99000000</v>
      </c>
      <c r="C22" s="54"/>
      <c r="D22" s="54"/>
      <c r="E22" s="54">
        <f t="shared" si="0"/>
        <v>99000000</v>
      </c>
      <c r="F22" s="31"/>
      <c r="G22" s="587">
        <v>7.4999999999999997E-3</v>
      </c>
      <c r="H22" s="336">
        <v>0.1149</v>
      </c>
      <c r="I22" s="589">
        <f t="shared" si="3"/>
        <v>0.12240000000000001</v>
      </c>
      <c r="J22" s="313">
        <f t="shared" si="1"/>
        <v>33198.904109589042</v>
      </c>
      <c r="K22" s="115">
        <f t="shared" si="4"/>
        <v>0</v>
      </c>
    </row>
    <row r="23" spans="1:11" x14ac:dyDescent="0.3">
      <c r="A23" s="312">
        <f t="shared" si="2"/>
        <v>46221</v>
      </c>
      <c r="B23" s="355">
        <v>99000000</v>
      </c>
      <c r="C23" s="591"/>
      <c r="D23" s="54"/>
      <c r="E23" s="54">
        <f t="shared" si="0"/>
        <v>99000000</v>
      </c>
      <c r="F23" s="31"/>
      <c r="G23" s="587">
        <v>7.4999999999999997E-3</v>
      </c>
      <c r="H23" s="336">
        <v>0.1149</v>
      </c>
      <c r="I23" s="589">
        <f t="shared" si="3"/>
        <v>0.12240000000000001</v>
      </c>
      <c r="J23" s="313">
        <f t="shared" si="1"/>
        <v>33198.904109589042</v>
      </c>
      <c r="K23" s="115">
        <f t="shared" si="4"/>
        <v>0</v>
      </c>
    </row>
    <row r="24" spans="1:11" x14ac:dyDescent="0.3">
      <c r="A24" s="312">
        <f t="shared" si="2"/>
        <v>46222</v>
      </c>
      <c r="B24" s="355">
        <v>99000000</v>
      </c>
      <c r="C24" s="54"/>
      <c r="D24" s="54"/>
      <c r="E24" s="54">
        <f t="shared" si="0"/>
        <v>99000000</v>
      </c>
      <c r="F24" s="31"/>
      <c r="G24" s="587">
        <v>7.4999999999999997E-3</v>
      </c>
      <c r="H24" s="336">
        <v>0.1149</v>
      </c>
      <c r="I24" s="589">
        <f t="shared" si="3"/>
        <v>0.12240000000000001</v>
      </c>
      <c r="J24" s="313">
        <f t="shared" si="1"/>
        <v>33198.904109589042</v>
      </c>
      <c r="K24" s="115">
        <f t="shared" si="4"/>
        <v>0</v>
      </c>
    </row>
    <row r="25" spans="1:11" ht="13.2" customHeight="1" x14ac:dyDescent="0.3">
      <c r="A25" s="312">
        <f t="shared" si="2"/>
        <v>46223</v>
      </c>
      <c r="B25" s="355">
        <v>99000000</v>
      </c>
      <c r="C25" s="54"/>
      <c r="D25" s="54"/>
      <c r="E25" s="54">
        <f t="shared" si="0"/>
        <v>99000000</v>
      </c>
      <c r="F25" s="31"/>
      <c r="G25" s="587">
        <v>7.4999999999999997E-3</v>
      </c>
      <c r="H25" s="336">
        <v>0.1149</v>
      </c>
      <c r="I25" s="589">
        <f t="shared" si="3"/>
        <v>0.12240000000000001</v>
      </c>
      <c r="J25" s="313">
        <f t="shared" si="1"/>
        <v>33198.904109589042</v>
      </c>
      <c r="K25" s="115">
        <f t="shared" si="4"/>
        <v>0</v>
      </c>
    </row>
    <row r="26" spans="1:11" x14ac:dyDescent="0.3">
      <c r="A26" s="312">
        <f t="shared" si="2"/>
        <v>46224</v>
      </c>
      <c r="B26" s="355">
        <v>99000000</v>
      </c>
      <c r="C26" s="54"/>
      <c r="D26" s="54"/>
      <c r="E26" s="54">
        <f t="shared" si="0"/>
        <v>99000000</v>
      </c>
      <c r="F26" s="31"/>
      <c r="G26" s="587">
        <v>7.4999999999999997E-3</v>
      </c>
      <c r="H26" s="336">
        <v>0.1149</v>
      </c>
      <c r="I26" s="589">
        <f t="shared" si="3"/>
        <v>0.12240000000000001</v>
      </c>
      <c r="J26" s="313">
        <f t="shared" si="1"/>
        <v>33198.904109589042</v>
      </c>
      <c r="K26" s="115">
        <f t="shared" si="4"/>
        <v>0</v>
      </c>
    </row>
    <row r="27" spans="1:11" x14ac:dyDescent="0.3">
      <c r="A27" s="312">
        <f t="shared" si="2"/>
        <v>46225</v>
      </c>
      <c r="B27" s="355">
        <v>99000000</v>
      </c>
      <c r="C27" s="54"/>
      <c r="D27" s="54"/>
      <c r="E27" s="54">
        <f t="shared" si="0"/>
        <v>99000000</v>
      </c>
      <c r="F27" s="31"/>
      <c r="G27" s="587">
        <v>7.4999999999999997E-3</v>
      </c>
      <c r="H27" s="336">
        <v>0.1149</v>
      </c>
      <c r="I27" s="589">
        <f t="shared" si="3"/>
        <v>0.12240000000000001</v>
      </c>
      <c r="J27" s="313">
        <f t="shared" si="1"/>
        <v>33198.904109589042</v>
      </c>
      <c r="K27" s="115">
        <f t="shared" si="4"/>
        <v>0</v>
      </c>
    </row>
    <row r="28" spans="1:11" x14ac:dyDescent="0.3">
      <c r="A28" s="312">
        <f t="shared" si="2"/>
        <v>46226</v>
      </c>
      <c r="B28" s="355">
        <v>99000000</v>
      </c>
      <c r="C28" s="54"/>
      <c r="D28" s="54"/>
      <c r="E28" s="54">
        <f t="shared" si="0"/>
        <v>99000000</v>
      </c>
      <c r="F28" s="31"/>
      <c r="G28" s="587">
        <v>7.4999999999999997E-3</v>
      </c>
      <c r="H28" s="336">
        <v>0.1149</v>
      </c>
      <c r="I28" s="589">
        <f t="shared" si="3"/>
        <v>0.12240000000000001</v>
      </c>
      <c r="J28" s="313">
        <f t="shared" si="1"/>
        <v>33198.904109589042</v>
      </c>
      <c r="K28" s="115">
        <f t="shared" si="4"/>
        <v>0</v>
      </c>
    </row>
    <row r="29" spans="1:11" x14ac:dyDescent="0.3">
      <c r="A29" s="312">
        <f t="shared" si="2"/>
        <v>46227</v>
      </c>
      <c r="B29" s="355">
        <v>99000000</v>
      </c>
      <c r="C29" s="54"/>
      <c r="D29" s="54"/>
      <c r="E29" s="54">
        <f t="shared" si="0"/>
        <v>99000000</v>
      </c>
      <c r="F29" s="31"/>
      <c r="G29" s="587">
        <v>7.4999999999999997E-3</v>
      </c>
      <c r="H29" s="336">
        <v>0.1149</v>
      </c>
      <c r="I29" s="589">
        <f t="shared" si="3"/>
        <v>0.12240000000000001</v>
      </c>
      <c r="J29" s="313">
        <f t="shared" si="1"/>
        <v>33198.904109589042</v>
      </c>
      <c r="K29" s="114">
        <f>+E29-E28</f>
        <v>0</v>
      </c>
    </row>
    <row r="30" spans="1:11" s="331" customFormat="1" x14ac:dyDescent="0.3">
      <c r="A30" s="315">
        <f t="shared" si="2"/>
        <v>46228</v>
      </c>
      <c r="B30" s="355">
        <v>99000000</v>
      </c>
      <c r="C30" s="381"/>
      <c r="D30" s="381"/>
      <c r="E30" s="381">
        <f t="shared" si="0"/>
        <v>99000000</v>
      </c>
      <c r="G30" s="382">
        <v>7.4999999999999997E-3</v>
      </c>
      <c r="H30" s="336">
        <v>0.1149</v>
      </c>
      <c r="I30" s="383">
        <f t="shared" si="3"/>
        <v>0.12240000000000001</v>
      </c>
      <c r="J30" s="385">
        <f t="shared" si="1"/>
        <v>33198.904109589042</v>
      </c>
      <c r="K30" s="378">
        <f t="shared" si="4"/>
        <v>0</v>
      </c>
    </row>
    <row r="31" spans="1:11" x14ac:dyDescent="0.3">
      <c r="A31" s="312">
        <f t="shared" si="2"/>
        <v>46229</v>
      </c>
      <c r="B31" s="355">
        <v>99000000</v>
      </c>
      <c r="C31" s="54"/>
      <c r="D31" s="54"/>
      <c r="E31" s="54">
        <f t="shared" si="0"/>
        <v>99000000</v>
      </c>
      <c r="F31" s="31"/>
      <c r="G31" s="587">
        <v>7.4999999999999997E-3</v>
      </c>
      <c r="H31" s="336">
        <v>0.1149</v>
      </c>
      <c r="I31" s="589">
        <f t="shared" si="3"/>
        <v>0.12240000000000001</v>
      </c>
      <c r="J31" s="313">
        <f t="shared" si="1"/>
        <v>33198.904109589042</v>
      </c>
      <c r="K31" s="114">
        <f t="shared" si="4"/>
        <v>0</v>
      </c>
    </row>
    <row r="32" spans="1:11" x14ac:dyDescent="0.3">
      <c r="A32" s="312">
        <f t="shared" si="2"/>
        <v>46230</v>
      </c>
      <c r="B32" s="355">
        <v>99000000</v>
      </c>
      <c r="C32" s="54"/>
      <c r="D32" s="54"/>
      <c r="E32" s="54">
        <f t="shared" si="0"/>
        <v>99000000</v>
      </c>
      <c r="F32" s="31"/>
      <c r="G32" s="587">
        <v>7.4999999999999997E-3</v>
      </c>
      <c r="H32" s="336">
        <v>0.1149</v>
      </c>
      <c r="I32" s="589">
        <f>+H32+G32</f>
        <v>0.12240000000000001</v>
      </c>
      <c r="J32" s="313">
        <f t="shared" si="1"/>
        <v>33198.904109589042</v>
      </c>
      <c r="K32" s="114">
        <f t="shared" si="4"/>
        <v>0</v>
      </c>
    </row>
    <row r="33" spans="1:12" x14ac:dyDescent="0.3">
      <c r="A33" s="312">
        <f t="shared" si="2"/>
        <v>46231</v>
      </c>
      <c r="B33" s="355">
        <v>99000000</v>
      </c>
      <c r="C33" s="54"/>
      <c r="D33" s="54"/>
      <c r="E33" s="54">
        <f>SUM(B33:D33)</f>
        <v>99000000</v>
      </c>
      <c r="F33" s="31"/>
      <c r="G33" s="587">
        <v>7.4999999999999997E-3</v>
      </c>
      <c r="H33" s="336">
        <v>0.1149</v>
      </c>
      <c r="I33" s="589">
        <f>+H33+G33</f>
        <v>0.12240000000000001</v>
      </c>
      <c r="J33" s="313">
        <f>IF(E33&lt;0,0,E33*I33/365)</f>
        <v>33198.904109589042</v>
      </c>
      <c r="K33" s="114">
        <f>+E33-E32</f>
        <v>0</v>
      </c>
    </row>
    <row r="34" spans="1:12" x14ac:dyDescent="0.3">
      <c r="A34" s="312">
        <f t="shared" si="2"/>
        <v>46232</v>
      </c>
      <c r="B34" s="355">
        <v>99000000</v>
      </c>
      <c r="C34" s="54"/>
      <c r="D34" s="54"/>
      <c r="E34" s="54">
        <f>SUM(B34:D34)</f>
        <v>99000000</v>
      </c>
      <c r="F34" s="31"/>
      <c r="G34" s="587">
        <v>7.4999999999999997E-3</v>
      </c>
      <c r="H34" s="336">
        <v>0.1149</v>
      </c>
      <c r="I34" s="589">
        <f>+H34+G34</f>
        <v>0.12240000000000001</v>
      </c>
      <c r="J34" s="313">
        <f>IF(E34&lt;0,0,E34*I34/365)</f>
        <v>33198.904109589042</v>
      </c>
      <c r="K34" s="114">
        <f>+E34-E33</f>
        <v>0</v>
      </c>
    </row>
    <row r="35" spans="1:12" x14ac:dyDescent="0.3">
      <c r="A35" s="312">
        <f t="shared" si="2"/>
        <v>46233</v>
      </c>
      <c r="B35" s="355">
        <v>99000000</v>
      </c>
      <c r="C35" s="54"/>
      <c r="D35" s="54"/>
      <c r="E35" s="54">
        <f>SUM(B35:D35)</f>
        <v>99000000</v>
      </c>
      <c r="F35" s="31"/>
      <c r="G35" s="587">
        <v>7.4999999999999997E-3</v>
      </c>
      <c r="H35" s="336">
        <v>0.1149</v>
      </c>
      <c r="I35" s="589">
        <f>+H35+G35</f>
        <v>0.12240000000000001</v>
      </c>
      <c r="J35" s="313">
        <f>IF(E35&lt;0,0,E35*I35/365)</f>
        <v>33198.904109589042</v>
      </c>
      <c r="K35" s="114">
        <f>+E35-E34</f>
        <v>0</v>
      </c>
    </row>
    <row r="36" spans="1:12" x14ac:dyDescent="0.3">
      <c r="A36" s="312">
        <f t="shared" si="2"/>
        <v>46234</v>
      </c>
      <c r="B36" s="355">
        <v>99000000</v>
      </c>
      <c r="C36" s="54"/>
      <c r="D36" s="54"/>
      <c r="E36" s="54">
        <f>SUM(B36:D36)</f>
        <v>99000000</v>
      </c>
      <c r="F36" s="31"/>
      <c r="G36" s="587">
        <v>7.4999999999999997E-3</v>
      </c>
      <c r="H36" s="336">
        <v>0.1149</v>
      </c>
      <c r="I36" s="589">
        <f>+H36+G36</f>
        <v>0.12240000000000001</v>
      </c>
      <c r="J36" s="313">
        <f>IF(E36&lt;0,0,E36*I36/365)</f>
        <v>33198.904109589042</v>
      </c>
      <c r="K36" s="114">
        <f>+E36-E35</f>
        <v>0</v>
      </c>
    </row>
    <row r="37" spans="1:12" ht="18.600000000000001" customHeight="1" x14ac:dyDescent="0.3">
      <c r="G37" s="100"/>
      <c r="H37" s="100"/>
      <c r="I37" s="20"/>
      <c r="J37" s="19">
        <f>SUM(J6:J36)</f>
        <v>1029166.0273972607</v>
      </c>
      <c r="K37" s="379"/>
      <c r="L37" s="257"/>
    </row>
    <row r="38" spans="1:12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2" x14ac:dyDescent="0.3">
      <c r="G39" s="965" t="s">
        <v>22</v>
      </c>
      <c r="H39" s="965"/>
      <c r="I39" s="965"/>
    </row>
    <row r="40" spans="1:12" x14ac:dyDescent="0.3">
      <c r="G40" s="975"/>
      <c r="H40" s="975"/>
      <c r="I40" s="975"/>
      <c r="J40" s="214" t="s">
        <v>0</v>
      </c>
    </row>
    <row r="41" spans="1:12" x14ac:dyDescent="0.3">
      <c r="G41" s="968" t="s">
        <v>15</v>
      </c>
      <c r="H41" s="968"/>
      <c r="I41" s="968"/>
      <c r="J41" s="307">
        <v>2025133.1506849322</v>
      </c>
      <c r="K41" s="139"/>
      <c r="L41" s="257"/>
    </row>
    <row r="42" spans="1:12" ht="17.399999999999999" x14ac:dyDescent="0.3">
      <c r="A42" s="696" t="s">
        <v>346</v>
      </c>
      <c r="B42" s="345" t="s">
        <v>332</v>
      </c>
      <c r="G42" s="968" t="s">
        <v>28</v>
      </c>
      <c r="H42" s="968"/>
      <c r="I42" s="968"/>
      <c r="J42" s="241"/>
      <c r="K42" s="807"/>
      <c r="L42" s="708"/>
    </row>
    <row r="43" spans="1:12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</row>
    <row r="44" spans="1:12" x14ac:dyDescent="0.3">
      <c r="G44" s="966"/>
      <c r="H44" s="966"/>
      <c r="I44" s="966"/>
      <c r="J44" s="966"/>
    </row>
    <row r="45" spans="1:12" ht="16.2" customHeight="1" thickBot="1" x14ac:dyDescent="0.35">
      <c r="A45" s="695" t="s">
        <v>343</v>
      </c>
      <c r="B45" s="546" t="s">
        <v>342</v>
      </c>
      <c r="G45" s="978" t="s">
        <v>199</v>
      </c>
      <c r="H45" s="978"/>
      <c r="I45" s="978"/>
      <c r="J45" s="217">
        <f>J37+J43</f>
        <v>1029166.0273972607</v>
      </c>
    </row>
    <row r="46" spans="1:12" x14ac:dyDescent="0.3">
      <c r="A46" s="695" t="s">
        <v>345</v>
      </c>
      <c r="B46" s="546" t="s">
        <v>344</v>
      </c>
      <c r="G46" s="967"/>
      <c r="H46" s="967"/>
      <c r="I46" s="967"/>
      <c r="J46" s="967"/>
    </row>
    <row r="47" spans="1:12" x14ac:dyDescent="0.3">
      <c r="G47" s="964" t="s">
        <v>31</v>
      </c>
      <c r="H47" s="964"/>
      <c r="I47" s="964"/>
      <c r="J47" s="106">
        <f>J41+J45-J42</f>
        <v>3054299.1780821928</v>
      </c>
      <c r="K47" s="416"/>
    </row>
    <row r="48" spans="1:12" x14ac:dyDescent="0.3">
      <c r="J48" s="2"/>
    </row>
    <row r="49" spans="10:10" x14ac:dyDescent="0.3">
      <c r="J49" s="34"/>
    </row>
  </sheetData>
  <mergeCells count="20">
    <mergeCell ref="A1:J1"/>
    <mergeCell ref="A2:I2"/>
    <mergeCell ref="A3:J3"/>
    <mergeCell ref="A4:A5"/>
    <mergeCell ref="B4:B5"/>
    <mergeCell ref="E4:E5"/>
    <mergeCell ref="G4:G5"/>
    <mergeCell ref="H4:H5"/>
    <mergeCell ref="I4:I5"/>
    <mergeCell ref="J4:J5"/>
    <mergeCell ref="G44:J44"/>
    <mergeCell ref="G45:I45"/>
    <mergeCell ref="G46:J46"/>
    <mergeCell ref="G47:I47"/>
    <mergeCell ref="A38:J38"/>
    <mergeCell ref="G39:I39"/>
    <mergeCell ref="G40:I40"/>
    <mergeCell ref="G41:I41"/>
    <mergeCell ref="G42:I42"/>
    <mergeCell ref="G43:I43"/>
  </mergeCells>
  <printOptions horizontalCentered="1" verticalCentered="1"/>
  <pageMargins left="0.74803149606299213" right="0.74803149606299213" top="0.51181102362204722" bottom="0.51181102362204722" header="0.51181102362204722" footer="0.51181102362204722"/>
  <pageSetup scale="79" orientation="landscape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5701-6489-4530-9A29-D5EA74D157D8}">
  <sheetPr>
    <tabColor theme="0"/>
    <pageSetUpPr fitToPage="1"/>
  </sheetPr>
  <dimension ref="A1:G92"/>
  <sheetViews>
    <sheetView showGridLines="0" topLeftCell="A69" zoomScaleNormal="100" zoomScaleSheetLayoutView="90" workbookViewId="0">
      <selection activeCell="A70" sqref="A70:XFD70"/>
    </sheetView>
  </sheetViews>
  <sheetFormatPr defaultColWidth="8.90625" defaultRowHeight="13.8" x14ac:dyDescent="0.3"/>
  <cols>
    <col min="1" max="1" width="16.1796875" style="3" customWidth="1"/>
    <col min="2" max="2" width="12.453125" style="31" bestFit="1" customWidth="1"/>
    <col min="3" max="3" width="11.81640625" style="3" bestFit="1" customWidth="1"/>
    <col min="4" max="4" width="12.81640625" style="3" bestFit="1" customWidth="1"/>
    <col min="5" max="5" width="11" style="3" bestFit="1" customWidth="1"/>
    <col min="6" max="6" width="9.81640625" style="3" bestFit="1" customWidth="1"/>
    <col min="7" max="7" width="11" style="3" bestFit="1" customWidth="1"/>
    <col min="8" max="16384" width="8.90625" style="3"/>
  </cols>
  <sheetData>
    <row r="1" spans="1:7" ht="18" x14ac:dyDescent="0.35">
      <c r="A1" s="7" t="s">
        <v>35</v>
      </c>
      <c r="B1" s="196"/>
      <c r="C1" s="2"/>
    </row>
    <row r="2" spans="1:7" ht="18.600000000000001" thickBot="1" x14ac:dyDescent="0.4">
      <c r="A2" s="8" t="s">
        <v>335</v>
      </c>
      <c r="B2" s="72"/>
      <c r="C2" s="27">
        <f>'FINANCIAL COST SUMMARY'!K2</f>
        <v>46204</v>
      </c>
    </row>
    <row r="3" spans="1:7" x14ac:dyDescent="0.3">
      <c r="A3" s="4"/>
      <c r="B3" s="533"/>
      <c r="C3" s="49"/>
    </row>
    <row r="4" spans="1:7" x14ac:dyDescent="0.3">
      <c r="A4" s="943" t="s">
        <v>19</v>
      </c>
      <c r="B4" s="943"/>
      <c r="C4" s="943"/>
    </row>
    <row r="5" spans="1:7" s="75" customFormat="1" ht="45" customHeight="1" x14ac:dyDescent="0.25">
      <c r="A5" s="51" t="s">
        <v>2</v>
      </c>
      <c r="B5" s="531"/>
      <c r="C5" s="395" t="s">
        <v>0</v>
      </c>
      <c r="E5" s="82">
        <v>45643</v>
      </c>
      <c r="F5" s="75">
        <v>120</v>
      </c>
      <c r="G5" s="82">
        <f>E5+F5</f>
        <v>45763</v>
      </c>
    </row>
    <row r="6" spans="1:7" x14ac:dyDescent="0.3">
      <c r="A6" s="6">
        <v>46204</v>
      </c>
      <c r="B6" s="330">
        <v>0</v>
      </c>
      <c r="C6" s="35">
        <f t="shared" ref="C6:C34" si="0">SUM(B6:B6)</f>
        <v>0</v>
      </c>
      <c r="D6" s="31"/>
      <c r="E6" s="76"/>
      <c r="G6" s="76"/>
    </row>
    <row r="7" spans="1:7" x14ac:dyDescent="0.3">
      <c r="A7" s="6">
        <f>+A6+1</f>
        <v>46205</v>
      </c>
      <c r="B7" s="330">
        <v>0</v>
      </c>
      <c r="C7" s="35">
        <f t="shared" si="0"/>
        <v>0</v>
      </c>
      <c r="D7" s="76"/>
      <c r="F7" s="76"/>
      <c r="G7" s="76"/>
    </row>
    <row r="8" spans="1:7" x14ac:dyDescent="0.3">
      <c r="A8" s="6">
        <f t="shared" ref="A8:A36" si="1">+A7+1</f>
        <v>46206</v>
      </c>
      <c r="B8" s="330">
        <v>0</v>
      </c>
      <c r="C8" s="35">
        <f t="shared" si="0"/>
        <v>0</v>
      </c>
      <c r="D8" s="325"/>
    </row>
    <row r="9" spans="1:7" x14ac:dyDescent="0.3">
      <c r="A9" s="6">
        <f t="shared" si="1"/>
        <v>46207</v>
      </c>
      <c r="B9" s="330">
        <v>0</v>
      </c>
      <c r="C9" s="35">
        <f t="shared" si="0"/>
        <v>0</v>
      </c>
      <c r="D9" s="325"/>
    </row>
    <row r="10" spans="1:7" x14ac:dyDescent="0.3">
      <c r="A10" s="6">
        <f t="shared" si="1"/>
        <v>46208</v>
      </c>
      <c r="B10" s="330">
        <v>0</v>
      </c>
      <c r="C10" s="35">
        <f t="shared" si="0"/>
        <v>0</v>
      </c>
      <c r="E10" s="325"/>
    </row>
    <row r="11" spans="1:7" x14ac:dyDescent="0.3">
      <c r="A11" s="6">
        <f t="shared" si="1"/>
        <v>46209</v>
      </c>
      <c r="B11" s="330">
        <v>0</v>
      </c>
      <c r="C11" s="35">
        <f t="shared" si="0"/>
        <v>0</v>
      </c>
      <c r="E11" s="325"/>
    </row>
    <row r="12" spans="1:7" x14ac:dyDescent="0.3">
      <c r="A12" s="6">
        <f t="shared" si="1"/>
        <v>46210</v>
      </c>
      <c r="B12" s="330">
        <v>0</v>
      </c>
      <c r="C12" s="35">
        <f t="shared" si="0"/>
        <v>0</v>
      </c>
      <c r="D12" s="76"/>
      <c r="E12" s="325"/>
      <c r="F12" s="76"/>
    </row>
    <row r="13" spans="1:7" x14ac:dyDescent="0.3">
      <c r="A13" s="6">
        <f t="shared" si="1"/>
        <v>46211</v>
      </c>
      <c r="B13" s="330">
        <v>0</v>
      </c>
      <c r="C13" s="35">
        <f t="shared" si="0"/>
        <v>0</v>
      </c>
      <c r="E13" s="34"/>
    </row>
    <row r="14" spans="1:7" x14ac:dyDescent="0.3">
      <c r="A14" s="6">
        <f t="shared" si="1"/>
        <v>46212</v>
      </c>
      <c r="B14" s="330">
        <v>0</v>
      </c>
      <c r="C14" s="35">
        <f t="shared" si="0"/>
        <v>0</v>
      </c>
      <c r="E14" s="257"/>
    </row>
    <row r="15" spans="1:7" x14ac:dyDescent="0.3">
      <c r="A15" s="6">
        <f t="shared" si="1"/>
        <v>46213</v>
      </c>
      <c r="B15" s="330">
        <v>0</v>
      </c>
      <c r="C15" s="35">
        <f t="shared" si="0"/>
        <v>0</v>
      </c>
    </row>
    <row r="16" spans="1:7" x14ac:dyDescent="0.3">
      <c r="A16" s="6">
        <f t="shared" si="1"/>
        <v>46214</v>
      </c>
      <c r="B16" s="330">
        <v>0</v>
      </c>
      <c r="C16" s="35">
        <f t="shared" si="0"/>
        <v>0</v>
      </c>
    </row>
    <row r="17" spans="1:5" x14ac:dyDescent="0.3">
      <c r="A17" s="6">
        <f t="shared" si="1"/>
        <v>46215</v>
      </c>
      <c r="B17" s="330">
        <v>0</v>
      </c>
      <c r="C17" s="35">
        <f t="shared" si="0"/>
        <v>0</v>
      </c>
    </row>
    <row r="18" spans="1:5" x14ac:dyDescent="0.3">
      <c r="A18" s="6">
        <f t="shared" si="1"/>
        <v>46216</v>
      </c>
      <c r="B18" s="330">
        <v>0</v>
      </c>
      <c r="C18" s="35">
        <f t="shared" si="0"/>
        <v>0</v>
      </c>
    </row>
    <row r="19" spans="1:5" x14ac:dyDescent="0.3">
      <c r="A19" s="6">
        <f t="shared" si="1"/>
        <v>46217</v>
      </c>
      <c r="B19" s="330">
        <v>0</v>
      </c>
      <c r="C19" s="35">
        <f t="shared" si="0"/>
        <v>0</v>
      </c>
    </row>
    <row r="20" spans="1:5" x14ac:dyDescent="0.3">
      <c r="A20" s="6">
        <f t="shared" si="1"/>
        <v>46218</v>
      </c>
      <c r="B20" s="330">
        <v>0</v>
      </c>
      <c r="C20" s="35">
        <f t="shared" si="0"/>
        <v>0</v>
      </c>
    </row>
    <row r="21" spans="1:5" x14ac:dyDescent="0.3">
      <c r="A21" s="315">
        <f t="shared" si="1"/>
        <v>46219</v>
      </c>
      <c r="B21" s="330">
        <v>0</v>
      </c>
      <c r="C21" s="35">
        <f t="shared" si="0"/>
        <v>0</v>
      </c>
    </row>
    <row r="22" spans="1:5" x14ac:dyDescent="0.3">
      <c r="A22" s="6">
        <f t="shared" si="1"/>
        <v>46220</v>
      </c>
      <c r="B22" s="330">
        <v>0</v>
      </c>
      <c r="C22" s="35">
        <f t="shared" si="0"/>
        <v>0</v>
      </c>
    </row>
    <row r="23" spans="1:5" x14ac:dyDescent="0.3">
      <c r="A23" s="6">
        <f t="shared" si="1"/>
        <v>46221</v>
      </c>
      <c r="B23" s="330">
        <v>0</v>
      </c>
      <c r="C23" s="35">
        <f t="shared" si="0"/>
        <v>0</v>
      </c>
    </row>
    <row r="24" spans="1:5" x14ac:dyDescent="0.3">
      <c r="A24" s="6">
        <f t="shared" si="1"/>
        <v>46222</v>
      </c>
      <c r="B24" s="330">
        <v>0</v>
      </c>
      <c r="C24" s="35">
        <f t="shared" si="0"/>
        <v>0</v>
      </c>
    </row>
    <row r="25" spans="1:5" x14ac:dyDescent="0.3">
      <c r="A25" s="6">
        <f t="shared" si="1"/>
        <v>46223</v>
      </c>
      <c r="B25" s="330">
        <v>0</v>
      </c>
      <c r="C25" s="35">
        <f t="shared" si="0"/>
        <v>0</v>
      </c>
    </row>
    <row r="26" spans="1:5" s="331" customFormat="1" x14ac:dyDescent="0.3">
      <c r="A26" s="315">
        <f t="shared" si="1"/>
        <v>46224</v>
      </c>
      <c r="B26" s="330">
        <v>0</v>
      </c>
      <c r="C26" s="414">
        <f t="shared" si="0"/>
        <v>0</v>
      </c>
    </row>
    <row r="27" spans="1:5" x14ac:dyDescent="0.3">
      <c r="A27" s="315">
        <f t="shared" si="1"/>
        <v>46225</v>
      </c>
      <c r="B27" s="330">
        <v>0</v>
      </c>
      <c r="C27" s="35">
        <f t="shared" si="0"/>
        <v>0</v>
      </c>
      <c r="D27" s="2"/>
      <c r="E27" s="34"/>
    </row>
    <row r="28" spans="1:5" x14ac:dyDescent="0.3">
      <c r="A28" s="315">
        <f t="shared" si="1"/>
        <v>46226</v>
      </c>
      <c r="B28" s="330">
        <v>0</v>
      </c>
      <c r="C28" s="35">
        <f t="shared" si="0"/>
        <v>0</v>
      </c>
    </row>
    <row r="29" spans="1:5" x14ac:dyDescent="0.3">
      <c r="A29" s="6">
        <f t="shared" si="1"/>
        <v>46227</v>
      </c>
      <c r="B29" s="330">
        <v>0</v>
      </c>
      <c r="C29" s="35">
        <f t="shared" si="0"/>
        <v>0</v>
      </c>
    </row>
    <row r="30" spans="1:5" x14ac:dyDescent="0.3">
      <c r="A30" s="6">
        <f t="shared" si="1"/>
        <v>46228</v>
      </c>
      <c r="B30" s="330">
        <v>0</v>
      </c>
      <c r="C30" s="35">
        <f t="shared" si="0"/>
        <v>0</v>
      </c>
    </row>
    <row r="31" spans="1:5" x14ac:dyDescent="0.3">
      <c r="A31" s="6">
        <f t="shared" si="1"/>
        <v>46229</v>
      </c>
      <c r="B31" s="330">
        <v>0</v>
      </c>
      <c r="C31" s="35">
        <f t="shared" si="0"/>
        <v>0</v>
      </c>
    </row>
    <row r="32" spans="1:5" x14ac:dyDescent="0.3">
      <c r="A32" s="6">
        <f t="shared" si="1"/>
        <v>46230</v>
      </c>
      <c r="B32" s="330">
        <v>0</v>
      </c>
      <c r="C32" s="35">
        <f t="shared" si="0"/>
        <v>0</v>
      </c>
    </row>
    <row r="33" spans="1:7" x14ac:dyDescent="0.3">
      <c r="A33" s="6">
        <f t="shared" si="1"/>
        <v>46231</v>
      </c>
      <c r="B33" s="330">
        <v>0</v>
      </c>
      <c r="C33" s="35">
        <f t="shared" si="0"/>
        <v>0</v>
      </c>
    </row>
    <row r="34" spans="1:7" x14ac:dyDescent="0.3">
      <c r="A34" s="6">
        <f t="shared" si="1"/>
        <v>46232</v>
      </c>
      <c r="B34" s="330">
        <v>0</v>
      </c>
      <c r="C34" s="35">
        <f t="shared" si="0"/>
        <v>0</v>
      </c>
    </row>
    <row r="35" spans="1:7" x14ac:dyDescent="0.3">
      <c r="A35" s="6">
        <f t="shared" si="1"/>
        <v>46233</v>
      </c>
      <c r="B35" s="330">
        <v>0</v>
      </c>
      <c r="C35" s="35">
        <f t="shared" ref="C35" si="2">SUM(B35:B35)</f>
        <v>0</v>
      </c>
    </row>
    <row r="36" spans="1:7" x14ac:dyDescent="0.3">
      <c r="A36" s="6">
        <f t="shared" si="1"/>
        <v>46234</v>
      </c>
      <c r="B36" s="330">
        <v>0</v>
      </c>
      <c r="C36" s="35">
        <f t="shared" ref="C36" si="3">SUM(B36:B36)</f>
        <v>0</v>
      </c>
    </row>
    <row r="37" spans="1:7" x14ac:dyDescent="0.3">
      <c r="A37" s="124"/>
      <c r="B37" s="612"/>
      <c r="C37" s="492"/>
    </row>
    <row r="38" spans="1:7" x14ac:dyDescent="0.3">
      <c r="A38" s="943" t="s">
        <v>56</v>
      </c>
      <c r="B38" s="943"/>
      <c r="C38" s="943"/>
      <c r="G38" s="331"/>
    </row>
    <row r="39" spans="1:7" s="75" customFormat="1" ht="56.4" customHeight="1" x14ac:dyDescent="0.25">
      <c r="A39" s="51" t="s">
        <v>2</v>
      </c>
      <c r="B39" s="398">
        <f>B5</f>
        <v>0</v>
      </c>
      <c r="C39" s="395" t="s">
        <v>0</v>
      </c>
    </row>
    <row r="40" spans="1:7" s="91" customFormat="1" ht="27.6" x14ac:dyDescent="0.25">
      <c r="A40" s="375" t="s">
        <v>333</v>
      </c>
      <c r="B40" s="532">
        <f>12.16%+0.75%</f>
        <v>0.12909999999999999</v>
      </c>
      <c r="C40" s="527"/>
    </row>
    <row r="41" spans="1:7" x14ac:dyDescent="0.3">
      <c r="A41" s="6">
        <f t="shared" ref="A41:A70" si="4">A6</f>
        <v>46204</v>
      </c>
      <c r="B41" s="5">
        <f t="shared" ref="B41:B71" si="5">IF(B6&lt;0,0,B6*B$40/365)</f>
        <v>0</v>
      </c>
      <c r="C41" s="35">
        <f t="shared" ref="C41:C69" si="6">SUM(B41:B41)</f>
        <v>0</v>
      </c>
    </row>
    <row r="42" spans="1:7" x14ac:dyDescent="0.3">
      <c r="A42" s="6">
        <f t="shared" si="4"/>
        <v>46205</v>
      </c>
      <c r="B42" s="5">
        <f t="shared" si="5"/>
        <v>0</v>
      </c>
      <c r="C42" s="35">
        <f t="shared" si="6"/>
        <v>0</v>
      </c>
    </row>
    <row r="43" spans="1:7" x14ac:dyDescent="0.3">
      <c r="A43" s="6">
        <f t="shared" si="4"/>
        <v>46206</v>
      </c>
      <c r="B43" s="5">
        <f t="shared" si="5"/>
        <v>0</v>
      </c>
      <c r="C43" s="35">
        <f t="shared" si="6"/>
        <v>0</v>
      </c>
    </row>
    <row r="44" spans="1:7" x14ac:dyDescent="0.3">
      <c r="A44" s="6">
        <f t="shared" si="4"/>
        <v>46207</v>
      </c>
      <c r="B44" s="5">
        <f t="shared" si="5"/>
        <v>0</v>
      </c>
      <c r="C44" s="35">
        <f t="shared" si="6"/>
        <v>0</v>
      </c>
      <c r="E44" s="34"/>
    </row>
    <row r="45" spans="1:7" x14ac:dyDescent="0.3">
      <c r="A45" s="6">
        <f t="shared" si="4"/>
        <v>46208</v>
      </c>
      <c r="B45" s="5">
        <f t="shared" si="5"/>
        <v>0</v>
      </c>
      <c r="C45" s="35">
        <f t="shared" si="6"/>
        <v>0</v>
      </c>
    </row>
    <row r="46" spans="1:7" x14ac:dyDescent="0.3">
      <c r="A46" s="6">
        <f t="shared" si="4"/>
        <v>46209</v>
      </c>
      <c r="B46" s="5">
        <f t="shared" si="5"/>
        <v>0</v>
      </c>
      <c r="C46" s="35">
        <f t="shared" si="6"/>
        <v>0</v>
      </c>
    </row>
    <row r="47" spans="1:7" x14ac:dyDescent="0.3">
      <c r="A47" s="6">
        <f t="shared" si="4"/>
        <v>46210</v>
      </c>
      <c r="B47" s="5">
        <f t="shared" si="5"/>
        <v>0</v>
      </c>
      <c r="C47" s="35">
        <f t="shared" si="6"/>
        <v>0</v>
      </c>
    </row>
    <row r="48" spans="1:7" x14ac:dyDescent="0.3">
      <c r="A48" s="6">
        <f t="shared" si="4"/>
        <v>46211</v>
      </c>
      <c r="B48" s="5">
        <f t="shared" si="5"/>
        <v>0</v>
      </c>
      <c r="C48" s="35">
        <f t="shared" si="6"/>
        <v>0</v>
      </c>
    </row>
    <row r="49" spans="1:3" x14ac:dyDescent="0.3">
      <c r="A49" s="6">
        <f t="shared" si="4"/>
        <v>46212</v>
      </c>
      <c r="B49" s="5">
        <f t="shared" si="5"/>
        <v>0</v>
      </c>
      <c r="C49" s="35">
        <f t="shared" si="6"/>
        <v>0</v>
      </c>
    </row>
    <row r="50" spans="1:3" x14ac:dyDescent="0.3">
      <c r="A50" s="6">
        <f t="shared" si="4"/>
        <v>46213</v>
      </c>
      <c r="B50" s="5">
        <f t="shared" si="5"/>
        <v>0</v>
      </c>
      <c r="C50" s="35">
        <f t="shared" si="6"/>
        <v>0</v>
      </c>
    </row>
    <row r="51" spans="1:3" x14ac:dyDescent="0.3">
      <c r="A51" s="6">
        <f t="shared" si="4"/>
        <v>46214</v>
      </c>
      <c r="B51" s="5">
        <f t="shared" si="5"/>
        <v>0</v>
      </c>
      <c r="C51" s="35">
        <f t="shared" si="6"/>
        <v>0</v>
      </c>
    </row>
    <row r="52" spans="1:3" x14ac:dyDescent="0.3">
      <c r="A52" s="6">
        <f t="shared" si="4"/>
        <v>46215</v>
      </c>
      <c r="B52" s="5">
        <f t="shared" si="5"/>
        <v>0</v>
      </c>
      <c r="C52" s="35">
        <f t="shared" si="6"/>
        <v>0</v>
      </c>
    </row>
    <row r="53" spans="1:3" x14ac:dyDescent="0.3">
      <c r="A53" s="6">
        <f t="shared" si="4"/>
        <v>46216</v>
      </c>
      <c r="B53" s="5">
        <f t="shared" si="5"/>
        <v>0</v>
      </c>
      <c r="C53" s="35">
        <f t="shared" si="6"/>
        <v>0</v>
      </c>
    </row>
    <row r="54" spans="1:3" x14ac:dyDescent="0.3">
      <c r="A54" s="6">
        <f t="shared" si="4"/>
        <v>46217</v>
      </c>
      <c r="B54" s="5">
        <f t="shared" si="5"/>
        <v>0</v>
      </c>
      <c r="C54" s="35">
        <f t="shared" si="6"/>
        <v>0</v>
      </c>
    </row>
    <row r="55" spans="1:3" x14ac:dyDescent="0.3">
      <c r="A55" s="6">
        <f t="shared" si="4"/>
        <v>46218</v>
      </c>
      <c r="B55" s="5">
        <f t="shared" si="5"/>
        <v>0</v>
      </c>
      <c r="C55" s="35">
        <f t="shared" si="6"/>
        <v>0</v>
      </c>
    </row>
    <row r="56" spans="1:3" x14ac:dyDescent="0.3">
      <c r="A56" s="6">
        <f t="shared" si="4"/>
        <v>46219</v>
      </c>
      <c r="B56" s="5">
        <f t="shared" si="5"/>
        <v>0</v>
      </c>
      <c r="C56" s="35">
        <f t="shared" si="6"/>
        <v>0</v>
      </c>
    </row>
    <row r="57" spans="1:3" x14ac:dyDescent="0.3">
      <c r="A57" s="6">
        <f t="shared" si="4"/>
        <v>46220</v>
      </c>
      <c r="B57" s="5">
        <f t="shared" si="5"/>
        <v>0</v>
      </c>
      <c r="C57" s="35">
        <f t="shared" si="6"/>
        <v>0</v>
      </c>
    </row>
    <row r="58" spans="1:3" x14ac:dyDescent="0.3">
      <c r="A58" s="6">
        <f t="shared" si="4"/>
        <v>46221</v>
      </c>
      <c r="B58" s="5">
        <f t="shared" si="5"/>
        <v>0</v>
      </c>
      <c r="C58" s="35">
        <f t="shared" si="6"/>
        <v>0</v>
      </c>
    </row>
    <row r="59" spans="1:3" x14ac:dyDescent="0.3">
      <c r="A59" s="6">
        <f t="shared" si="4"/>
        <v>46222</v>
      </c>
      <c r="B59" s="5">
        <f t="shared" si="5"/>
        <v>0</v>
      </c>
      <c r="C59" s="35">
        <f t="shared" si="6"/>
        <v>0</v>
      </c>
    </row>
    <row r="60" spans="1:3" x14ac:dyDescent="0.3">
      <c r="A60" s="6">
        <f t="shared" si="4"/>
        <v>46223</v>
      </c>
      <c r="B60" s="5">
        <f t="shared" si="5"/>
        <v>0</v>
      </c>
      <c r="C60" s="35">
        <f t="shared" si="6"/>
        <v>0</v>
      </c>
    </row>
    <row r="61" spans="1:3" x14ac:dyDescent="0.3">
      <c r="A61" s="6">
        <f t="shared" si="4"/>
        <v>46224</v>
      </c>
      <c r="B61" s="5">
        <f t="shared" si="5"/>
        <v>0</v>
      </c>
      <c r="C61" s="35">
        <f t="shared" si="6"/>
        <v>0</v>
      </c>
    </row>
    <row r="62" spans="1:3" x14ac:dyDescent="0.3">
      <c r="A62" s="6">
        <f t="shared" si="4"/>
        <v>46225</v>
      </c>
      <c r="B62" s="5">
        <f t="shared" si="5"/>
        <v>0</v>
      </c>
      <c r="C62" s="35">
        <f t="shared" si="6"/>
        <v>0</v>
      </c>
    </row>
    <row r="63" spans="1:3" x14ac:dyDescent="0.3">
      <c r="A63" s="6">
        <f t="shared" si="4"/>
        <v>46226</v>
      </c>
      <c r="B63" s="5">
        <f t="shared" si="5"/>
        <v>0</v>
      </c>
      <c r="C63" s="35">
        <f t="shared" si="6"/>
        <v>0</v>
      </c>
    </row>
    <row r="64" spans="1:3" x14ac:dyDescent="0.3">
      <c r="A64" s="6">
        <f t="shared" si="4"/>
        <v>46227</v>
      </c>
      <c r="B64" s="5">
        <f t="shared" si="5"/>
        <v>0</v>
      </c>
      <c r="C64" s="35">
        <f t="shared" si="6"/>
        <v>0</v>
      </c>
    </row>
    <row r="65" spans="1:6" x14ac:dyDescent="0.3">
      <c r="A65" s="6">
        <f t="shared" si="4"/>
        <v>46228</v>
      </c>
      <c r="B65" s="5">
        <f t="shared" si="5"/>
        <v>0</v>
      </c>
      <c r="C65" s="35">
        <f t="shared" si="6"/>
        <v>0</v>
      </c>
    </row>
    <row r="66" spans="1:6" x14ac:dyDescent="0.3">
      <c r="A66" s="6">
        <f t="shared" si="4"/>
        <v>46229</v>
      </c>
      <c r="B66" s="5">
        <f t="shared" si="5"/>
        <v>0</v>
      </c>
      <c r="C66" s="35">
        <f t="shared" si="6"/>
        <v>0</v>
      </c>
    </row>
    <row r="67" spans="1:6" x14ac:dyDescent="0.3">
      <c r="A67" s="6">
        <f t="shared" si="4"/>
        <v>46230</v>
      </c>
      <c r="B67" s="5">
        <f t="shared" si="5"/>
        <v>0</v>
      </c>
      <c r="C67" s="35">
        <f t="shared" si="6"/>
        <v>0</v>
      </c>
    </row>
    <row r="68" spans="1:6" x14ac:dyDescent="0.3">
      <c r="A68" s="6">
        <f t="shared" si="4"/>
        <v>46231</v>
      </c>
      <c r="B68" s="5">
        <f t="shared" si="5"/>
        <v>0</v>
      </c>
      <c r="C68" s="35">
        <f t="shared" si="6"/>
        <v>0</v>
      </c>
    </row>
    <row r="69" spans="1:6" x14ac:dyDescent="0.3">
      <c r="A69" s="6">
        <f t="shared" si="4"/>
        <v>46232</v>
      </c>
      <c r="B69" s="5">
        <f t="shared" si="5"/>
        <v>0</v>
      </c>
      <c r="C69" s="35">
        <f t="shared" si="6"/>
        <v>0</v>
      </c>
    </row>
    <row r="70" spans="1:6" x14ac:dyDescent="0.3">
      <c r="A70" s="6">
        <f t="shared" si="4"/>
        <v>46233</v>
      </c>
      <c r="B70" s="5">
        <f t="shared" si="5"/>
        <v>0</v>
      </c>
      <c r="C70" s="35">
        <f t="shared" ref="C70" si="7">SUM(B70:B70)</f>
        <v>0</v>
      </c>
    </row>
    <row r="71" spans="1:6" x14ac:dyDescent="0.3">
      <c r="A71" s="6">
        <f t="shared" ref="A71" si="8">A36</f>
        <v>46234</v>
      </c>
      <c r="B71" s="5">
        <f t="shared" si="5"/>
        <v>0</v>
      </c>
      <c r="C71" s="35">
        <f>SUM(B71:B71)</f>
        <v>0</v>
      </c>
    </row>
    <row r="72" spans="1:6" x14ac:dyDescent="0.3">
      <c r="A72" s="9" t="s">
        <v>14</v>
      </c>
      <c r="B72" s="10">
        <f>SUM(B41:B71)</f>
        <v>0</v>
      </c>
      <c r="C72" s="10">
        <f>SUM(C41:C71)</f>
        <v>0</v>
      </c>
    </row>
    <row r="73" spans="1:6" x14ac:dyDescent="0.3">
      <c r="A73" s="954"/>
      <c r="B73" s="954"/>
      <c r="C73" s="954"/>
    </row>
    <row r="74" spans="1:6" x14ac:dyDescent="0.3">
      <c r="A74" s="943" t="s">
        <v>73</v>
      </c>
      <c r="B74" s="943"/>
      <c r="C74" s="943"/>
    </row>
    <row r="75" spans="1:6" s="75" customFormat="1" ht="55.95" customHeight="1" x14ac:dyDescent="0.25">
      <c r="A75" s="397" t="s">
        <v>18</v>
      </c>
      <c r="B75" s="398">
        <f>B5</f>
        <v>0</v>
      </c>
      <c r="C75" s="417" t="s">
        <v>0</v>
      </c>
    </row>
    <row r="76" spans="1:6" x14ac:dyDescent="0.3">
      <c r="A76" s="12" t="s">
        <v>15</v>
      </c>
      <c r="B76" s="576"/>
      <c r="C76" s="528">
        <f>+SUM(B76:B76)</f>
        <v>0</v>
      </c>
      <c r="D76" s="139"/>
    </row>
    <row r="77" spans="1:6" x14ac:dyDescent="0.3">
      <c r="A77" s="12" t="s">
        <v>16</v>
      </c>
      <c r="B77" s="13">
        <f>B72</f>
        <v>0</v>
      </c>
      <c r="C77" s="528">
        <f>+SUM(B77:B77)</f>
        <v>0</v>
      </c>
    </row>
    <row r="78" spans="1:6" x14ac:dyDescent="0.3">
      <c r="A78" s="12" t="s">
        <v>26</v>
      </c>
      <c r="B78" s="809"/>
      <c r="C78" s="810">
        <f>+SUM(B78:B78)</f>
        <v>0</v>
      </c>
    </row>
    <row r="79" spans="1:6" x14ac:dyDescent="0.3">
      <c r="A79" s="638" t="s">
        <v>14</v>
      </c>
      <c r="B79" s="13">
        <f>SUM(B76:B78)</f>
        <v>0</v>
      </c>
      <c r="C79" s="418">
        <f>+SUM(B79:B79)</f>
        <v>0</v>
      </c>
    </row>
    <row r="80" spans="1:6" x14ac:dyDescent="0.3">
      <c r="A80" s="979"/>
      <c r="B80" s="979"/>
      <c r="C80" s="979"/>
      <c r="F80" s="325"/>
    </row>
    <row r="81" spans="1:6" ht="17.399999999999999" x14ac:dyDescent="0.3">
      <c r="A81" s="641" t="s">
        <v>30</v>
      </c>
      <c r="B81" s="44"/>
      <c r="C81" s="751">
        <f>SUM(B81:B81)</f>
        <v>0</v>
      </c>
      <c r="D81" s="748"/>
      <c r="E81" s="708"/>
      <c r="F81" s="325"/>
    </row>
    <row r="82" spans="1:6" x14ac:dyDescent="0.3">
      <c r="A82" s="979"/>
      <c r="B82" s="979"/>
      <c r="C82" s="979"/>
      <c r="F82" s="325"/>
    </row>
    <row r="83" spans="1:6" x14ac:dyDescent="0.3">
      <c r="A83" s="639" t="s">
        <v>4</v>
      </c>
      <c r="B83" s="44"/>
      <c r="C83" s="640">
        <f>SUM(B83:B83)</f>
        <v>0</v>
      </c>
      <c r="E83" s="34"/>
    </row>
    <row r="84" spans="1:6" x14ac:dyDescent="0.3">
      <c r="A84" s="940"/>
      <c r="B84" s="940"/>
      <c r="C84" s="940"/>
    </row>
    <row r="85" spans="1:6" x14ac:dyDescent="0.3">
      <c r="A85" s="28" t="s">
        <v>17</v>
      </c>
      <c r="B85" s="29">
        <f>B72+B83+B78</f>
        <v>0</v>
      </c>
      <c r="C85" s="529">
        <f>SUM(B85:B85)</f>
        <v>0</v>
      </c>
    </row>
    <row r="86" spans="1:6" s="331" customFormat="1" x14ac:dyDescent="0.3">
      <c r="A86" s="522"/>
      <c r="B86" s="496"/>
      <c r="C86" s="496"/>
    </row>
    <row r="87" spans="1:6" x14ac:dyDescent="0.3">
      <c r="A87" s="99" t="s">
        <v>31</v>
      </c>
      <c r="B87" s="98">
        <f>B79+B83-B81</f>
        <v>0</v>
      </c>
      <c r="C87" s="530">
        <f>C79+C83-C81</f>
        <v>0</v>
      </c>
    </row>
    <row r="88" spans="1:6" x14ac:dyDescent="0.3">
      <c r="A88" s="399" t="s">
        <v>254</v>
      </c>
      <c r="B88" s="399"/>
      <c r="C88" s="399"/>
    </row>
    <row r="89" spans="1:6" x14ac:dyDescent="0.3">
      <c r="B89" s="139"/>
      <c r="C89" s="34"/>
    </row>
    <row r="91" spans="1:6" x14ac:dyDescent="0.3">
      <c r="A91" s="318" t="s">
        <v>265</v>
      </c>
      <c r="B91" s="399" t="s">
        <v>334</v>
      </c>
    </row>
    <row r="92" spans="1:6" x14ac:dyDescent="0.3">
      <c r="A92" s="318" t="s">
        <v>266</v>
      </c>
      <c r="B92" s="399">
        <v>40000037</v>
      </c>
    </row>
  </sheetData>
  <mergeCells count="7">
    <mergeCell ref="A84:C84"/>
    <mergeCell ref="A4:C4"/>
    <mergeCell ref="A38:C38"/>
    <mergeCell ref="A73:C73"/>
    <mergeCell ref="A74:C74"/>
    <mergeCell ref="A80:C80"/>
    <mergeCell ref="A82:C82"/>
  </mergeCells>
  <printOptions horizontalCentered="1" verticalCentered="1"/>
  <pageMargins left="0.25" right="0.25" top="0.5" bottom="0.5" header="0.5" footer="0.5"/>
  <pageSetup scale="5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28EC-69CF-4EB8-A250-FAF38CB99382}">
  <sheetPr transitionEvaluation="1">
    <tabColor theme="0"/>
    <pageSetUpPr fitToPage="1"/>
  </sheetPr>
  <dimension ref="A1:M47"/>
  <sheetViews>
    <sheetView showGridLines="0" defaultGridColor="0" view="pageBreakPreview" topLeftCell="A9" colorId="22" zoomScale="90" zoomScaleNormal="70" zoomScaleSheetLayoutView="90" workbookViewId="0">
      <selection activeCell="C5" sqref="C5:C33"/>
    </sheetView>
  </sheetViews>
  <sheetFormatPr defaultColWidth="10.6328125" defaultRowHeight="15.6" x14ac:dyDescent="0.3"/>
  <cols>
    <col min="1" max="1" width="28.36328125" style="24" customWidth="1"/>
    <col min="2" max="2" width="5.6328125" style="544" customWidth="1"/>
    <col min="3" max="3" width="17.81640625" style="24" customWidth="1"/>
    <col min="4" max="4" width="13" style="24" customWidth="1"/>
    <col min="5" max="5" width="15.6328125" style="24" hidden="1" customWidth="1"/>
    <col min="6" max="6" width="15.6328125" style="24" customWidth="1"/>
    <col min="7" max="7" width="14.08984375" style="24" customWidth="1"/>
    <col min="8" max="8" width="16" style="24" bestFit="1" customWidth="1"/>
    <col min="9" max="10" width="13.1796875" style="24" customWidth="1"/>
    <col min="11" max="11" width="20.7265625" style="24" bestFit="1" customWidth="1"/>
    <col min="12" max="12" width="11.453125" style="842" bestFit="1" customWidth="1"/>
    <col min="13" max="13" width="13" style="842" bestFit="1" customWidth="1"/>
    <col min="14" max="16384" width="10.6328125" style="24"/>
  </cols>
  <sheetData>
    <row r="1" spans="1:13" ht="25.8" x14ac:dyDescent="0.5">
      <c r="A1" s="909" t="s">
        <v>35</v>
      </c>
      <c r="B1" s="909"/>
      <c r="C1" s="909"/>
      <c r="D1" s="909"/>
      <c r="E1" s="909"/>
      <c r="F1" s="909"/>
      <c r="G1" s="909"/>
      <c r="H1" s="909"/>
      <c r="I1" s="909"/>
      <c r="J1" s="909"/>
      <c r="K1" s="909"/>
    </row>
    <row r="2" spans="1:13" ht="21.6" thickBot="1" x14ac:dyDescent="0.45">
      <c r="A2" s="910" t="s">
        <v>25</v>
      </c>
      <c r="B2" s="910"/>
      <c r="C2" s="910"/>
      <c r="D2" s="910"/>
      <c r="E2" s="910"/>
      <c r="F2" s="910"/>
      <c r="G2" s="910"/>
      <c r="H2" s="910"/>
      <c r="I2" s="910"/>
      <c r="J2" s="910"/>
      <c r="K2" s="26">
        <v>46204</v>
      </c>
    </row>
    <row r="3" spans="1:13" ht="16.2" thickBot="1" x14ac:dyDescent="0.35">
      <c r="A3" s="25"/>
      <c r="B3" s="543"/>
      <c r="C3" s="25"/>
      <c r="D3" s="25"/>
      <c r="E3" s="25"/>
      <c r="F3" s="25"/>
      <c r="G3" s="25"/>
      <c r="H3" s="25"/>
      <c r="I3" s="25"/>
      <c r="J3" s="25"/>
      <c r="K3" s="25"/>
    </row>
    <row r="4" spans="1:13" ht="54.6" thickBot="1" x14ac:dyDescent="0.35">
      <c r="A4" s="561" t="s">
        <v>23</v>
      </c>
      <c r="B4" s="562" t="s">
        <v>319</v>
      </c>
      <c r="C4" s="563" t="s">
        <v>44</v>
      </c>
      <c r="D4" s="563" t="s">
        <v>27</v>
      </c>
      <c r="E4" s="563" t="s">
        <v>359</v>
      </c>
      <c r="F4" s="563" t="s">
        <v>358</v>
      </c>
      <c r="G4" s="563" t="s">
        <v>52</v>
      </c>
      <c r="H4" s="563" t="s">
        <v>45</v>
      </c>
      <c r="I4" s="563" t="s">
        <v>29</v>
      </c>
      <c r="J4" s="563" t="s">
        <v>46</v>
      </c>
      <c r="K4" s="564" t="s">
        <v>1</v>
      </c>
      <c r="L4" s="84"/>
      <c r="M4" s="84"/>
    </row>
    <row r="5" spans="1:13" x14ac:dyDescent="0.3">
      <c r="A5" s="558" t="s">
        <v>316</v>
      </c>
      <c r="B5" s="559">
        <v>104</v>
      </c>
      <c r="C5" s="560">
        <v>1500493.1642403854</v>
      </c>
      <c r="D5" s="560">
        <f>'AL-BARAKA-ISTISNA'!C75</f>
        <v>1500493.1506849313</v>
      </c>
      <c r="E5" s="700">
        <f>+C5-D5</f>
        <v>1.3555454090237617E-2</v>
      </c>
      <c r="F5" s="700">
        <f>+'AL-BARAKA-ISTISNA'!C77</f>
        <v>0</v>
      </c>
      <c r="G5" s="560">
        <f>'AL-BARAKA-ISTISNA'!C84</f>
        <v>2215013.6986301374</v>
      </c>
      <c r="H5" s="560">
        <f t="shared" ref="H5:H33" si="0">G5</f>
        <v>2215013.6986301374</v>
      </c>
      <c r="I5" s="560">
        <f>H5+C5</f>
        <v>3715506.8628705228</v>
      </c>
      <c r="J5" s="560">
        <f>'AL-BARAKA-ISTISNA'!C80</f>
        <v>0</v>
      </c>
      <c r="K5" s="560">
        <f>I5-J5</f>
        <v>3715506.8628705228</v>
      </c>
    </row>
    <row r="6" spans="1:13" s="712" customFormat="1" x14ac:dyDescent="0.3">
      <c r="A6" s="552" t="s">
        <v>279</v>
      </c>
      <c r="B6" s="553">
        <v>104</v>
      </c>
      <c r="C6" s="554">
        <v>2558373.0068493681</v>
      </c>
      <c r="D6" s="554">
        <f>'ASKARI - FATR'!K76</f>
        <v>2558373.042046411</v>
      </c>
      <c r="E6" s="560">
        <f t="shared" ref="E6:E33" si="1">+C6-D6</f>
        <v>-3.5197042860090733E-2</v>
      </c>
      <c r="F6" s="840">
        <f>+'ASKARI - FATR'!K78</f>
        <v>0</v>
      </c>
      <c r="G6" s="554">
        <f>'ASKARI - FATR'!K85</f>
        <v>2377406.2687422466</v>
      </c>
      <c r="H6" s="554">
        <f t="shared" si="0"/>
        <v>2377406.2687422466</v>
      </c>
      <c r="I6" s="554">
        <f>H6+C6</f>
        <v>4935779.2755916147</v>
      </c>
      <c r="J6" s="821">
        <f>'ASKARI - FATR'!K81</f>
        <v>0</v>
      </c>
      <c r="K6" s="554">
        <f t="shared" ref="K6:K32" si="2">I6-J6</f>
        <v>4935779.2755916147</v>
      </c>
      <c r="L6" s="843"/>
      <c r="M6" s="842"/>
    </row>
    <row r="7" spans="1:13" s="712" customFormat="1" x14ac:dyDescent="0.3">
      <c r="A7" s="552" t="s">
        <v>87</v>
      </c>
      <c r="B7" s="553">
        <v>104</v>
      </c>
      <c r="C7" s="554">
        <v>862897.41023601533</v>
      </c>
      <c r="D7" s="554">
        <f>'ALFALAH-FATR'!D76</f>
        <v>862897.40566027432</v>
      </c>
      <c r="E7" s="560">
        <f t="shared" si="1"/>
        <v>4.5757410116493702E-3</v>
      </c>
      <c r="F7" s="554">
        <f>+'ALFALAH-FATR'!D78</f>
        <v>0</v>
      </c>
      <c r="G7" s="554">
        <f>'ALFALAH-FATR'!D85</f>
        <v>705216.28159726062</v>
      </c>
      <c r="H7" s="554">
        <f t="shared" si="0"/>
        <v>705216.28159726062</v>
      </c>
      <c r="I7" s="554">
        <f>H7+C7</f>
        <v>1568113.6918332758</v>
      </c>
      <c r="J7" s="821">
        <f>'ALFALAH-FATR'!D81</f>
        <v>0</v>
      </c>
      <c r="K7" s="554">
        <f t="shared" si="2"/>
        <v>1568113.6918332758</v>
      </c>
      <c r="L7" s="843"/>
      <c r="M7" s="842"/>
    </row>
    <row r="8" spans="1:13" s="712" customFormat="1" x14ac:dyDescent="0.3">
      <c r="A8" s="552" t="s">
        <v>88</v>
      </c>
      <c r="B8" s="553">
        <v>103</v>
      </c>
      <c r="C8" s="554">
        <v>166923.99612594518</v>
      </c>
      <c r="D8" s="554">
        <f>'ALFALAH-RF '!J41</f>
        <v>166923.99612594518</v>
      </c>
      <c r="E8" s="560">
        <f t="shared" si="1"/>
        <v>0</v>
      </c>
      <c r="F8" s="554">
        <f>+'ALFALAH-RF '!J43</f>
        <v>0</v>
      </c>
      <c r="G8" s="554">
        <f>'ALFALAH-RF '!J45</f>
        <v>0</v>
      </c>
      <c r="H8" s="554">
        <f t="shared" si="0"/>
        <v>0</v>
      </c>
      <c r="I8" s="554">
        <f>H8+C8</f>
        <v>166923.99612594518</v>
      </c>
      <c r="J8" s="820">
        <f>'ALFALAH-RF '!J42</f>
        <v>0</v>
      </c>
      <c r="K8" s="554">
        <f>I8-J8</f>
        <v>166923.99612594518</v>
      </c>
      <c r="L8" s="843"/>
      <c r="M8" s="842"/>
    </row>
    <row r="9" spans="1:13" s="712" customFormat="1" x14ac:dyDescent="0.3">
      <c r="A9" s="552" t="s">
        <v>315</v>
      </c>
      <c r="B9" s="553">
        <v>104</v>
      </c>
      <c r="C9" s="554">
        <v>740204.40008086385</v>
      </c>
      <c r="D9" s="554">
        <f>'BANK ISLAMI'!D75</f>
        <v>740204.37994904129</v>
      </c>
      <c r="E9" s="560">
        <f t="shared" si="1"/>
        <v>2.0131822559051216E-2</v>
      </c>
      <c r="F9" s="554">
        <f>+'BANK ISLAMI'!D77</f>
        <v>0</v>
      </c>
      <c r="G9" s="554">
        <f>'BANK ISLAMI'!D84</f>
        <v>548267.59115780843</v>
      </c>
      <c r="H9" s="554">
        <f t="shared" si="0"/>
        <v>548267.59115780843</v>
      </c>
      <c r="I9" s="554">
        <f t="shared" ref="I9:I24" si="3">H9+C9</f>
        <v>1288471.9912386723</v>
      </c>
      <c r="J9" s="820">
        <f>'BANK ISLAMI'!D80</f>
        <v>0</v>
      </c>
      <c r="K9" s="551">
        <f t="shared" si="2"/>
        <v>1288471.9912386723</v>
      </c>
      <c r="L9" s="843"/>
      <c r="M9" s="842"/>
    </row>
    <row r="10" spans="1:13" s="814" customFormat="1" x14ac:dyDescent="0.3">
      <c r="A10" s="552" t="s">
        <v>355</v>
      </c>
      <c r="B10" s="553">
        <v>103</v>
      </c>
      <c r="C10" s="554">
        <v>0</v>
      </c>
      <c r="D10" s="554">
        <f>'BIPL - RF'!J41</f>
        <v>0</v>
      </c>
      <c r="E10" s="560">
        <f t="shared" si="1"/>
        <v>0</v>
      </c>
      <c r="F10" s="554">
        <f>+'BIPL - RF'!J43</f>
        <v>0</v>
      </c>
      <c r="G10" s="554">
        <f>'BIPL - RF'!J45</f>
        <v>0</v>
      </c>
      <c r="H10" s="554">
        <f t="shared" si="0"/>
        <v>0</v>
      </c>
      <c r="I10" s="554">
        <f>H10+C10</f>
        <v>0</v>
      </c>
      <c r="J10" s="820">
        <f>+'BIPL - RF'!J42</f>
        <v>0</v>
      </c>
      <c r="K10" s="551">
        <f t="shared" si="2"/>
        <v>0</v>
      </c>
      <c r="L10" s="844"/>
      <c r="M10" s="842"/>
    </row>
    <row r="11" spans="1:13" s="712" customFormat="1" ht="15.6" customHeight="1" x14ac:dyDescent="0.3">
      <c r="A11" s="552" t="s">
        <v>320</v>
      </c>
      <c r="B11" s="553">
        <v>104</v>
      </c>
      <c r="C11" s="554">
        <v>921690.3632284815</v>
      </c>
      <c r="D11" s="554">
        <f>'ALLIED BANK - FATR'!G76</f>
        <v>921690.36210797867</v>
      </c>
      <c r="E11" s="560">
        <f t="shared" si="1"/>
        <v>1.1205028276890516E-3</v>
      </c>
      <c r="F11" s="554">
        <f>+'ALLIED BANK - FATR'!G78</f>
        <v>0</v>
      </c>
      <c r="G11" s="554">
        <f>'ALLIED BANK - FATR'!G85</f>
        <v>690769.18204985233</v>
      </c>
      <c r="H11" s="554">
        <f t="shared" si="0"/>
        <v>690769.18204985233</v>
      </c>
      <c r="I11" s="554">
        <f t="shared" si="3"/>
        <v>1612459.5452783338</v>
      </c>
      <c r="J11" s="820">
        <f>'ALLIED BANK - FATR'!G81</f>
        <v>0</v>
      </c>
      <c r="K11" s="551">
        <f t="shared" si="2"/>
        <v>1612459.5452783338</v>
      </c>
      <c r="L11" s="843"/>
      <c r="M11" s="842"/>
    </row>
    <row r="12" spans="1:13" s="712" customFormat="1" ht="15.6" customHeight="1" x14ac:dyDescent="0.3">
      <c r="A12" s="552" t="s">
        <v>348</v>
      </c>
      <c r="B12" s="553">
        <v>104</v>
      </c>
      <c r="C12" s="554">
        <v>-8.626970462501049E-3</v>
      </c>
      <c r="D12" s="554">
        <f>+'BOK - FATR'!C76</f>
        <v>0</v>
      </c>
      <c r="E12" s="560">
        <f t="shared" si="1"/>
        <v>-8.626970462501049E-3</v>
      </c>
      <c r="F12" s="554">
        <f>+'BOK - FATR'!C78</f>
        <v>0</v>
      </c>
      <c r="G12" s="554">
        <f>'BOK - FATR'!C85</f>
        <v>0</v>
      </c>
      <c r="H12" s="554">
        <f t="shared" si="0"/>
        <v>0</v>
      </c>
      <c r="I12" s="554">
        <f>H12+C12</f>
        <v>-8.626970462501049E-3</v>
      </c>
      <c r="J12" s="770">
        <f>+'BOK - FATR'!C81</f>
        <v>0</v>
      </c>
      <c r="K12" s="551">
        <f t="shared" si="2"/>
        <v>-8.626970462501049E-3</v>
      </c>
      <c r="L12" s="843"/>
      <c r="M12" s="842"/>
    </row>
    <row r="13" spans="1:13" s="712" customFormat="1" ht="15.6" customHeight="1" x14ac:dyDescent="0.3">
      <c r="A13" s="552" t="s">
        <v>38</v>
      </c>
      <c r="B13" s="553">
        <v>104</v>
      </c>
      <c r="C13" s="554">
        <v>1070055.1759099872</v>
      </c>
      <c r="D13" s="554">
        <f>'BOP-FATR'!F76</f>
        <v>1070055.1700180168</v>
      </c>
      <c r="E13" s="560">
        <f t="shared" si="1"/>
        <v>5.8919703587889671E-3</v>
      </c>
      <c r="F13" s="554">
        <f>+'BOP-FATR'!F78</f>
        <v>0</v>
      </c>
      <c r="G13" s="554">
        <f>'BOP-FATR'!F85</f>
        <v>1624517.9708978194</v>
      </c>
      <c r="H13" s="554">
        <f t="shared" si="0"/>
        <v>1624517.9708978194</v>
      </c>
      <c r="I13" s="554">
        <f t="shared" si="3"/>
        <v>2694573.1468078066</v>
      </c>
      <c r="J13" s="820">
        <f>'BOP-FATR'!F81</f>
        <v>0</v>
      </c>
      <c r="K13" s="551">
        <f t="shared" si="2"/>
        <v>2694573.1468078066</v>
      </c>
      <c r="L13" s="843"/>
      <c r="M13" s="842"/>
    </row>
    <row r="14" spans="1:13" s="712" customFormat="1" x14ac:dyDescent="0.3">
      <c r="A14" s="552" t="s">
        <v>13</v>
      </c>
      <c r="B14" s="553">
        <v>103</v>
      </c>
      <c r="C14" s="554">
        <v>2791449.4180657724</v>
      </c>
      <c r="D14" s="554">
        <f>'BOP-RF'!J41</f>
        <v>2791449.4180657724</v>
      </c>
      <c r="E14" s="560">
        <f t="shared" si="1"/>
        <v>0</v>
      </c>
      <c r="F14" s="554">
        <f>+'BOP-RF'!J43</f>
        <v>0</v>
      </c>
      <c r="G14" s="554">
        <f>'BOP-RF'!J45</f>
        <v>0</v>
      </c>
      <c r="H14" s="554">
        <f t="shared" si="0"/>
        <v>0</v>
      </c>
      <c r="I14" s="554">
        <f t="shared" si="3"/>
        <v>2791449.4180657724</v>
      </c>
      <c r="J14" s="770">
        <f>'BOP-RF'!J42</f>
        <v>0</v>
      </c>
      <c r="K14" s="551">
        <f>I14-J14</f>
        <v>2791449.4180657724</v>
      </c>
      <c r="L14" s="843"/>
      <c r="M14" s="842"/>
    </row>
    <row r="15" spans="1:13" s="712" customFormat="1" x14ac:dyDescent="0.3">
      <c r="A15" s="552" t="s">
        <v>375</v>
      </c>
      <c r="B15" s="553">
        <v>104</v>
      </c>
      <c r="C15" s="554">
        <v>27243123.289589036</v>
      </c>
      <c r="D15" s="554">
        <f>'FBL-ISTISNA'!E76</f>
        <v>21978520.547945198</v>
      </c>
      <c r="E15" s="560">
        <f>+C15-D15</f>
        <v>5264602.7416438386</v>
      </c>
      <c r="F15" s="554">
        <f>'FBL-ISTISNA'!E78</f>
        <v>0</v>
      </c>
      <c r="G15" s="554">
        <f>'FBL-ISTISNA'!E85</f>
        <v>5382958.904109587</v>
      </c>
      <c r="H15" s="554">
        <f>G15</f>
        <v>5382958.904109587</v>
      </c>
      <c r="I15" s="554">
        <f>H15+C15</f>
        <v>32626082.193698622</v>
      </c>
      <c r="J15" s="770">
        <f>'FBL-ISTISNA'!E81</f>
        <v>0</v>
      </c>
      <c r="K15" s="551">
        <f>I15-J15</f>
        <v>32626082.193698622</v>
      </c>
      <c r="L15" s="862"/>
      <c r="M15" s="842"/>
    </row>
    <row r="16" spans="1:13" s="712" customFormat="1" ht="15.6" customHeight="1" x14ac:dyDescent="0.3">
      <c r="A16" s="552" t="s">
        <v>48</v>
      </c>
      <c r="B16" s="553">
        <v>104</v>
      </c>
      <c r="C16" s="554">
        <v>2701809.2375573693</v>
      </c>
      <c r="D16" s="554">
        <f>'HBL-FATR '!I76</f>
        <v>2701809.2356846021</v>
      </c>
      <c r="E16" s="560">
        <f t="shared" si="1"/>
        <v>1.8727672286331654E-3</v>
      </c>
      <c r="F16" s="554">
        <f>+'HBL-FATR '!I78</f>
        <v>0</v>
      </c>
      <c r="G16" s="554">
        <f>'HBL-FATR '!I85</f>
        <v>1299799.8240557592</v>
      </c>
      <c r="H16" s="554">
        <f t="shared" si="0"/>
        <v>1299799.8240557592</v>
      </c>
      <c r="I16" s="554">
        <f>H16+C16</f>
        <v>4001609.0616131285</v>
      </c>
      <c r="J16" s="820">
        <f>'HBL-FATR '!I81</f>
        <v>0</v>
      </c>
      <c r="K16" s="551">
        <f t="shared" si="2"/>
        <v>4001609.0616131285</v>
      </c>
      <c r="L16" s="843"/>
      <c r="M16" s="842"/>
    </row>
    <row r="17" spans="1:13" s="712" customFormat="1" x14ac:dyDescent="0.3">
      <c r="A17" s="552" t="s">
        <v>47</v>
      </c>
      <c r="B17" s="553">
        <v>103</v>
      </c>
      <c r="C17" s="554">
        <v>919243.32805819192</v>
      </c>
      <c r="D17" s="554">
        <f>'HBL-RF'!K41</f>
        <v>919243.32805819192</v>
      </c>
      <c r="E17" s="560">
        <f t="shared" si="1"/>
        <v>0</v>
      </c>
      <c r="F17" s="554">
        <f>+'HBL-RF'!K43</f>
        <v>0</v>
      </c>
      <c r="G17" s="554">
        <f>'HBL-RF'!K45</f>
        <v>0</v>
      </c>
      <c r="H17" s="554">
        <f t="shared" si="0"/>
        <v>0</v>
      </c>
      <c r="I17" s="554">
        <f>H17+C17</f>
        <v>919243.32805819192</v>
      </c>
      <c r="J17" s="770">
        <f>'HBL-RF'!K42</f>
        <v>0</v>
      </c>
      <c r="K17" s="551">
        <f>I17-J17</f>
        <v>919243.32805819192</v>
      </c>
      <c r="L17" s="843"/>
      <c r="M17" s="842"/>
    </row>
    <row r="18" spans="1:13" s="712" customFormat="1" ht="15.6" customHeight="1" x14ac:dyDescent="0.3">
      <c r="A18" s="552" t="s">
        <v>64</v>
      </c>
      <c r="B18" s="553">
        <v>104</v>
      </c>
      <c r="C18" s="554">
        <v>599128.47470564302</v>
      </c>
      <c r="D18" s="554">
        <f>'HABIB METROPOLITAN-FATR'!F75</f>
        <v>599128.48296986322</v>
      </c>
      <c r="E18" s="560">
        <f t="shared" si="1"/>
        <v>-8.2642202032729983E-3</v>
      </c>
      <c r="F18" s="554">
        <f>+'HABIB METROPOLITAN-FATR'!F77</f>
        <v>0</v>
      </c>
      <c r="G18" s="554">
        <f>'HABIB METROPOLITAN-FATR'!F84</f>
        <v>456292.21368082217</v>
      </c>
      <c r="H18" s="554">
        <f t="shared" si="0"/>
        <v>456292.21368082217</v>
      </c>
      <c r="I18" s="554">
        <f>H18+C18</f>
        <v>1055420.6883864652</v>
      </c>
      <c r="J18" s="770">
        <f>'HABIB METROPOLITAN-FATR'!F80</f>
        <v>0</v>
      </c>
      <c r="K18" s="551">
        <f t="shared" si="2"/>
        <v>1055420.6883864652</v>
      </c>
      <c r="L18" s="843"/>
      <c r="M18" s="842"/>
    </row>
    <row r="19" spans="1:13" s="814" customFormat="1" x14ac:dyDescent="0.3">
      <c r="A19" s="552" t="s">
        <v>65</v>
      </c>
      <c r="B19" s="553">
        <v>103</v>
      </c>
      <c r="C19" s="554">
        <v>631006.18556480564</v>
      </c>
      <c r="D19" s="554">
        <f>'HABIBMETROPOLITAN-RF'!J41</f>
        <v>631006.18556480564</v>
      </c>
      <c r="E19" s="560">
        <f t="shared" si="1"/>
        <v>0</v>
      </c>
      <c r="F19" s="554">
        <f>+'HABIBMETROPOLITAN-RF'!J43</f>
        <v>0</v>
      </c>
      <c r="G19" s="554">
        <f>'HABIBMETROPOLITAN-RF'!J45</f>
        <v>0</v>
      </c>
      <c r="H19" s="554">
        <f t="shared" si="0"/>
        <v>0</v>
      </c>
      <c r="I19" s="554">
        <f>H19+C19</f>
        <v>631006.18556480564</v>
      </c>
      <c r="J19" s="770">
        <f>'HABIBMETROPOLITAN-RF'!J42</f>
        <v>0</v>
      </c>
      <c r="K19" s="551">
        <f>I19-J19</f>
        <v>631006.18556480564</v>
      </c>
      <c r="L19" s="844"/>
      <c r="M19" s="842"/>
    </row>
    <row r="20" spans="1:13" ht="15.6" customHeight="1" x14ac:dyDescent="0.3">
      <c r="A20" s="552" t="s">
        <v>39</v>
      </c>
      <c r="B20" s="553">
        <v>104</v>
      </c>
      <c r="C20" s="554">
        <v>581555.90372120682</v>
      </c>
      <c r="D20" s="554">
        <f>'JS-FATR'!C76</f>
        <v>581555.90356164379</v>
      </c>
      <c r="E20" s="560">
        <f t="shared" si="1"/>
        <v>1.5956303104758263E-4</v>
      </c>
      <c r="F20" s="554">
        <f>+'JS-FATR'!C78</f>
        <v>0</v>
      </c>
      <c r="G20" s="554">
        <f>'JS-FATR'!C85</f>
        <v>253918.77479452052</v>
      </c>
      <c r="H20" s="554">
        <f t="shared" si="0"/>
        <v>253918.77479452052</v>
      </c>
      <c r="I20" s="554">
        <f t="shared" si="3"/>
        <v>835474.6785157274</v>
      </c>
      <c r="J20" s="770">
        <f>'JS-FATR'!C81</f>
        <v>0</v>
      </c>
      <c r="K20" s="551">
        <f t="shared" si="2"/>
        <v>835474.6785157274</v>
      </c>
    </row>
    <row r="21" spans="1:13" x14ac:dyDescent="0.3">
      <c r="A21" s="552" t="s">
        <v>40</v>
      </c>
      <c r="B21" s="553">
        <v>103</v>
      </c>
      <c r="C21" s="554">
        <v>85264.826069336996</v>
      </c>
      <c r="D21" s="554">
        <f>'JS-RF'!J41</f>
        <v>85264.826069336996</v>
      </c>
      <c r="E21" s="560">
        <f t="shared" si="1"/>
        <v>0</v>
      </c>
      <c r="F21" s="554">
        <f>+'JS-RF'!J43</f>
        <v>0</v>
      </c>
      <c r="G21" s="554">
        <f>'JS-RF'!J45</f>
        <v>0</v>
      </c>
      <c r="H21" s="554">
        <f t="shared" si="0"/>
        <v>0</v>
      </c>
      <c r="I21" s="554">
        <f t="shared" si="3"/>
        <v>85264.826069336996</v>
      </c>
      <c r="J21" s="770">
        <f>'JS-RF'!J42</f>
        <v>0</v>
      </c>
      <c r="K21" s="551">
        <f>I21-J21</f>
        <v>85264.826069336996</v>
      </c>
    </row>
    <row r="22" spans="1:13" x14ac:dyDescent="0.3">
      <c r="A22" s="552" t="s">
        <v>41</v>
      </c>
      <c r="B22" s="553">
        <v>104</v>
      </c>
      <c r="C22" s="554">
        <v>91624.416096025263</v>
      </c>
      <c r="D22" s="554">
        <f>'MCB-FATR'!C75</f>
        <v>92399.651232876742</v>
      </c>
      <c r="E22" s="560">
        <f t="shared" si="1"/>
        <v>-775.23513685147918</v>
      </c>
      <c r="F22" s="554">
        <f>+'MCB-FATR'!C77</f>
        <v>0</v>
      </c>
      <c r="G22" s="554">
        <f>'MCB-FATR'!C84</f>
        <v>220337.62986301378</v>
      </c>
      <c r="H22" s="554">
        <f t="shared" si="0"/>
        <v>220337.62986301378</v>
      </c>
      <c r="I22" s="554">
        <f t="shared" si="3"/>
        <v>311962.04595903901</v>
      </c>
      <c r="J22" s="820">
        <f>'MCB-FATR'!C80</f>
        <v>0</v>
      </c>
      <c r="K22" s="551">
        <f t="shared" si="2"/>
        <v>311962.04595903901</v>
      </c>
    </row>
    <row r="23" spans="1:13" x14ac:dyDescent="0.3">
      <c r="A23" s="552" t="s">
        <v>42</v>
      </c>
      <c r="B23" s="553">
        <v>103</v>
      </c>
      <c r="C23" s="554">
        <v>584822.99635941093</v>
      </c>
      <c r="D23" s="554">
        <f>'MCB-RF'!J41</f>
        <v>584822.99635941093</v>
      </c>
      <c r="E23" s="560">
        <f t="shared" si="1"/>
        <v>0</v>
      </c>
      <c r="F23" s="554">
        <f>+'MCB-RF'!J43</f>
        <v>0</v>
      </c>
      <c r="G23" s="554">
        <f>'MCB-RF'!J45</f>
        <v>0</v>
      </c>
      <c r="H23" s="554">
        <f t="shared" si="0"/>
        <v>0</v>
      </c>
      <c r="I23" s="554">
        <f t="shared" si="3"/>
        <v>584822.99635941093</v>
      </c>
      <c r="J23" s="770">
        <f>'MCB-RF'!J42</f>
        <v>0</v>
      </c>
      <c r="K23" s="551">
        <f>I23-J23</f>
        <v>584822.99635941093</v>
      </c>
    </row>
    <row r="24" spans="1:13" x14ac:dyDescent="0.3">
      <c r="A24" s="552" t="s">
        <v>57</v>
      </c>
      <c r="B24" s="553">
        <v>104</v>
      </c>
      <c r="C24" s="554">
        <v>6446137.5647113333</v>
      </c>
      <c r="D24" s="554">
        <f>'MEEZAN-MUSAWAMAH'!K76</f>
        <v>6446137.5523994965</v>
      </c>
      <c r="E24" s="560">
        <f t="shared" si="1"/>
        <v>1.2311836704611778E-2</v>
      </c>
      <c r="F24" s="554">
        <f>+'MEEZAN-MUSAWAMAH'!K78</f>
        <v>0</v>
      </c>
      <c r="G24" s="554">
        <f>'MEEZAN-MUSAWAMAH'!K85</f>
        <v>2121121.160533085</v>
      </c>
      <c r="H24" s="554">
        <f t="shared" si="0"/>
        <v>2121121.160533085</v>
      </c>
      <c r="I24" s="554">
        <f t="shared" si="3"/>
        <v>8567258.7252444178</v>
      </c>
      <c r="J24" s="820">
        <f>'MEEZAN-MUSAWAMAH'!K81</f>
        <v>0</v>
      </c>
      <c r="K24" s="551">
        <f t="shared" si="2"/>
        <v>8567258.7252444178</v>
      </c>
    </row>
    <row r="25" spans="1:13" x14ac:dyDescent="0.3">
      <c r="A25" s="552" t="s">
        <v>312</v>
      </c>
      <c r="B25" s="553">
        <v>104</v>
      </c>
      <c r="C25" s="554">
        <v>55719.772723833215</v>
      </c>
      <c r="D25" s="554">
        <f>'NBP - FATR'!C76</f>
        <v>55719.764186301378</v>
      </c>
      <c r="E25" s="560">
        <f t="shared" si="1"/>
        <v>8.5375318376463838E-3</v>
      </c>
      <c r="F25" s="554">
        <f>+'NBP - FATR'!C78</f>
        <v>0</v>
      </c>
      <c r="G25" s="554">
        <f>'NBP - FATR'!C85</f>
        <v>215914.08622191768</v>
      </c>
      <c r="H25" s="554">
        <f t="shared" si="0"/>
        <v>215914.08622191768</v>
      </c>
      <c r="I25" s="554">
        <f t="shared" ref="I25:I33" si="4">H25+C25</f>
        <v>271633.85894575086</v>
      </c>
      <c r="J25" s="820">
        <f>'NBP - FATR'!C81</f>
        <v>0</v>
      </c>
      <c r="K25" s="551">
        <f t="shared" si="2"/>
        <v>271633.85894575086</v>
      </c>
    </row>
    <row r="26" spans="1:13" x14ac:dyDescent="0.3">
      <c r="A26" s="552" t="s">
        <v>313</v>
      </c>
      <c r="B26" s="553">
        <v>103</v>
      </c>
      <c r="C26" s="554">
        <v>2695890.4164383574</v>
      </c>
      <c r="D26" s="554">
        <f>'NBP - RF'!J41</f>
        <v>2695890.4109589043</v>
      </c>
      <c r="E26" s="560">
        <f t="shared" si="1"/>
        <v>5.4794531315565109E-3</v>
      </c>
      <c r="F26" s="554">
        <f>+'NBP - RF'!J43</f>
        <v>0</v>
      </c>
      <c r="G26" s="554">
        <f>'NBP - RF'!J45</f>
        <v>1880383.5616438352</v>
      </c>
      <c r="H26" s="554">
        <f t="shared" si="0"/>
        <v>1880383.5616438352</v>
      </c>
      <c r="I26" s="554">
        <f t="shared" si="4"/>
        <v>4576273.9780821931</v>
      </c>
      <c r="J26" s="770">
        <f>'NBP - RF'!J42</f>
        <v>0</v>
      </c>
      <c r="K26" s="551">
        <f t="shared" si="2"/>
        <v>4576273.9780821931</v>
      </c>
    </row>
    <row r="27" spans="1:13" x14ac:dyDescent="0.3">
      <c r="A27" s="552" t="s">
        <v>347</v>
      </c>
      <c r="B27" s="553">
        <v>103</v>
      </c>
      <c r="C27" s="554">
        <v>3021100.273972603</v>
      </c>
      <c r="D27" s="554">
        <f>'BOK RF'!J41</f>
        <v>2025133.1506849322</v>
      </c>
      <c r="E27" s="560">
        <f t="shared" si="1"/>
        <v>995967.12328767078</v>
      </c>
      <c r="F27" s="554">
        <f>+'BOK RF'!J43</f>
        <v>0</v>
      </c>
      <c r="G27" s="554">
        <f>'BOK RF'!J45</f>
        <v>1029166.0273972607</v>
      </c>
      <c r="H27" s="554">
        <f t="shared" si="0"/>
        <v>1029166.0273972607</v>
      </c>
      <c r="I27" s="554">
        <f t="shared" si="4"/>
        <v>4050266.3013698636</v>
      </c>
      <c r="J27" s="770">
        <f>'BOK RF'!J42</f>
        <v>0</v>
      </c>
      <c r="K27" s="551">
        <f>I27-J27</f>
        <v>4050266.3013698636</v>
      </c>
      <c r="L27" s="862"/>
    </row>
    <row r="28" spans="1:13" x14ac:dyDescent="0.3">
      <c r="A28" s="552" t="s">
        <v>357</v>
      </c>
      <c r="B28" s="553">
        <v>103</v>
      </c>
      <c r="C28" s="554">
        <v>2145205.479452054</v>
      </c>
      <c r="D28" s="554">
        <f>'PBICL-RF -I (2)'!F41</f>
        <v>2145205.479452054</v>
      </c>
      <c r="E28" s="560">
        <f>+C28-D28</f>
        <v>0</v>
      </c>
      <c r="F28" s="554">
        <f>'PBICL-RF -I (2)'!F43</f>
        <v>0</v>
      </c>
      <c r="G28" s="554">
        <f>'PBICL-RF -I (2)'!F45</f>
        <v>2216712.3287671227</v>
      </c>
      <c r="H28" s="554">
        <f>G28</f>
        <v>2216712.3287671227</v>
      </c>
      <c r="I28" s="554">
        <f t="shared" si="4"/>
        <v>4361917.8082191767</v>
      </c>
      <c r="J28" s="820">
        <f>'PBICL-RF -I (2)'!F42</f>
        <v>0</v>
      </c>
      <c r="K28" s="551">
        <f>I28-J28</f>
        <v>4361917.8082191767</v>
      </c>
    </row>
    <row r="29" spans="1:13" x14ac:dyDescent="0.3">
      <c r="A29" s="552" t="s">
        <v>354</v>
      </c>
      <c r="B29" s="553">
        <v>103</v>
      </c>
      <c r="C29" s="554">
        <v>2145205.479452054</v>
      </c>
      <c r="D29" s="554">
        <f>'PBICL-RF -II (2)'!F41</f>
        <v>2145205.479452054</v>
      </c>
      <c r="E29" s="560">
        <f>+C29-D29</f>
        <v>0</v>
      </c>
      <c r="F29" s="554">
        <f>'PBICL-RF -II (2)'!F43</f>
        <v>0</v>
      </c>
      <c r="G29" s="554">
        <f>'PBICL-RF -II (2)'!F45</f>
        <v>2216712.3287671227</v>
      </c>
      <c r="H29" s="554">
        <f>G29</f>
        <v>2216712.3287671227</v>
      </c>
      <c r="I29" s="554">
        <f t="shared" si="4"/>
        <v>4361917.8082191767</v>
      </c>
      <c r="J29" s="820">
        <f>'PBICL-RF -II (2)'!F42</f>
        <v>0</v>
      </c>
      <c r="K29" s="551">
        <f>I29-J29</f>
        <v>4361917.8082191767</v>
      </c>
    </row>
    <row r="30" spans="1:13" x14ac:dyDescent="0.3">
      <c r="A30" s="552" t="s">
        <v>432</v>
      </c>
      <c r="B30" s="553">
        <v>104</v>
      </c>
      <c r="C30" s="554">
        <v>0</v>
      </c>
      <c r="D30" s="554">
        <f>'SAMBA-FATR'!C76</f>
        <v>0</v>
      </c>
      <c r="E30" s="560"/>
      <c r="F30" s="554">
        <f>'SAMBA-FATR'!C78</f>
        <v>0</v>
      </c>
      <c r="G30" s="554">
        <f>'SAMBA-FATR'!C85</f>
        <v>0</v>
      </c>
      <c r="H30" s="554">
        <f>G30</f>
        <v>0</v>
      </c>
      <c r="I30" s="554">
        <f t="shared" si="4"/>
        <v>0</v>
      </c>
      <c r="J30" s="820">
        <f>'SAMBA-FATR'!C81</f>
        <v>0</v>
      </c>
      <c r="K30" s="551">
        <f>I30-J30</f>
        <v>0</v>
      </c>
    </row>
    <row r="31" spans="1:13" x14ac:dyDescent="0.3">
      <c r="A31" s="552" t="s">
        <v>433</v>
      </c>
      <c r="B31" s="553">
        <v>103</v>
      </c>
      <c r="C31" s="554">
        <v>285589.0410958904</v>
      </c>
      <c r="D31" s="554">
        <f>'SAMBA-RF'!J41</f>
        <v>285589.0410958904</v>
      </c>
      <c r="E31" s="560"/>
      <c r="F31" s="554">
        <f>'SAMBA-RF'!J43</f>
        <v>0</v>
      </c>
      <c r="G31" s="554">
        <f>'SAMBA-RF'!J45</f>
        <v>1106657.5342465749</v>
      </c>
      <c r="H31" s="554">
        <f>G31</f>
        <v>1106657.5342465749</v>
      </c>
      <c r="I31" s="554">
        <f t="shared" si="4"/>
        <v>1392246.5753424652</v>
      </c>
      <c r="J31" s="820">
        <f>'SAMBA-RF'!J42</f>
        <v>0</v>
      </c>
      <c r="K31" s="551">
        <f>I31-J31</f>
        <v>1392246.5753424652</v>
      </c>
    </row>
    <row r="32" spans="1:13" x14ac:dyDescent="0.3">
      <c r="A32" s="552" t="s">
        <v>43</v>
      </c>
      <c r="B32" s="553">
        <v>104</v>
      </c>
      <c r="C32" s="554">
        <v>55346.183594026603</v>
      </c>
      <c r="D32" s="554">
        <f>'SONERI-FATR'!C76</f>
        <v>0</v>
      </c>
      <c r="E32" s="560">
        <f t="shared" si="1"/>
        <v>55346.183594026603</v>
      </c>
      <c r="F32" s="554">
        <f>+'SONERI-FATR'!C78</f>
        <v>0</v>
      </c>
      <c r="G32" s="554">
        <f>'SONERI-FATR'!C85</f>
        <v>0</v>
      </c>
      <c r="H32" s="554">
        <f>G32</f>
        <v>0</v>
      </c>
      <c r="I32" s="554">
        <f t="shared" si="4"/>
        <v>55346.183594026603</v>
      </c>
      <c r="J32" s="806">
        <f>'SONERI-FATR'!C81</f>
        <v>0</v>
      </c>
      <c r="K32" s="551">
        <f t="shared" si="2"/>
        <v>55346.183594026603</v>
      </c>
    </row>
    <row r="33" spans="1:13" x14ac:dyDescent="0.3">
      <c r="A33" s="552" t="s">
        <v>32</v>
      </c>
      <c r="B33" s="553">
        <v>103</v>
      </c>
      <c r="C33" s="554">
        <v>1237229.61869126</v>
      </c>
      <c r="D33" s="554">
        <f>'SONERI-RF '!J41</f>
        <v>1237229.61869126</v>
      </c>
      <c r="E33" s="560">
        <f t="shared" si="1"/>
        <v>0</v>
      </c>
      <c r="F33" s="554">
        <f>+'SONERI-RF '!J43</f>
        <v>0</v>
      </c>
      <c r="G33" s="554">
        <f>'SONERI-RF '!J45</f>
        <v>0</v>
      </c>
      <c r="H33" s="554">
        <f t="shared" si="0"/>
        <v>0</v>
      </c>
      <c r="I33" s="554">
        <f t="shared" si="4"/>
        <v>1237229.61869126</v>
      </c>
      <c r="J33" s="770">
        <f>'SONERI-RF '!J42</f>
        <v>0</v>
      </c>
      <c r="K33" s="551">
        <f>I33-J33</f>
        <v>1237229.61869126</v>
      </c>
      <c r="L33" s="862"/>
    </row>
    <row r="34" spans="1:13" x14ac:dyDescent="0.3">
      <c r="A34" s="911"/>
      <c r="B34" s="912"/>
      <c r="C34" s="912"/>
      <c r="D34" s="912"/>
      <c r="E34" s="912"/>
      <c r="F34" s="912"/>
      <c r="G34" s="912"/>
      <c r="H34" s="912"/>
      <c r="I34" s="912"/>
      <c r="J34" s="912"/>
      <c r="K34" s="913"/>
    </row>
    <row r="35" spans="1:13" x14ac:dyDescent="0.3">
      <c r="A35" s="555" t="s">
        <v>24</v>
      </c>
      <c r="B35" s="556"/>
      <c r="C35" s="557">
        <f t="shared" ref="C35:K35" si="5">SUM(C5:C33)</f>
        <v>62137089.413962267</v>
      </c>
      <c r="D35" s="557">
        <f t="shared" si="5"/>
        <v>55821948.579025179</v>
      </c>
      <c r="E35" s="557">
        <f t="shared" si="5"/>
        <v>6315140.8349370928</v>
      </c>
      <c r="F35" s="557">
        <f t="shared" si="5"/>
        <v>0</v>
      </c>
      <c r="G35" s="557">
        <f t="shared" si="5"/>
        <v>26561165.367155742</v>
      </c>
      <c r="H35" s="557">
        <f t="shared" si="5"/>
        <v>26561165.367155742</v>
      </c>
      <c r="I35" s="557">
        <f t="shared" si="5"/>
        <v>88698254.78111805</v>
      </c>
      <c r="J35" s="557">
        <f t="shared" si="5"/>
        <v>0</v>
      </c>
      <c r="K35" s="557">
        <f t="shared" si="5"/>
        <v>88698254.78111805</v>
      </c>
    </row>
    <row r="36" spans="1:13" x14ac:dyDescent="0.3">
      <c r="A36" s="835"/>
      <c r="B36" s="836"/>
      <c r="C36" s="837"/>
      <c r="D36" s="837"/>
      <c r="E36" s="837"/>
      <c r="F36" s="837"/>
      <c r="G36" s="837"/>
      <c r="H36" s="837"/>
      <c r="I36" s="837"/>
      <c r="J36" s="837"/>
      <c r="K36" s="837"/>
    </row>
    <row r="37" spans="1:13" x14ac:dyDescent="0.3">
      <c r="A37" s="835"/>
      <c r="B37" s="836"/>
      <c r="C37" s="837"/>
      <c r="D37" s="837"/>
      <c r="E37" s="837"/>
      <c r="F37" s="837"/>
      <c r="G37" s="837"/>
      <c r="H37" s="837"/>
      <c r="I37" s="837"/>
      <c r="J37" s="837"/>
      <c r="K37" s="837"/>
    </row>
    <row r="38" spans="1:13" s="826" customFormat="1" ht="23.4" x14ac:dyDescent="0.45">
      <c r="B38" s="827"/>
      <c r="C38" s="828"/>
      <c r="G38" s="829" t="s">
        <v>63</v>
      </c>
      <c r="K38" s="829" t="s">
        <v>63</v>
      </c>
      <c r="L38" s="845"/>
      <c r="M38" s="842"/>
    </row>
    <row r="39" spans="1:13" s="830" customFormat="1" x14ac:dyDescent="0.3">
      <c r="B39" s="831"/>
      <c r="C39" s="832"/>
      <c r="I39" s="833" t="s">
        <v>269</v>
      </c>
      <c r="J39" s="833"/>
      <c r="K39" s="834">
        <v>0</v>
      </c>
      <c r="L39" s="846"/>
      <c r="M39" s="842"/>
    </row>
    <row r="40" spans="1:13" x14ac:dyDescent="0.3">
      <c r="A40" s="85"/>
      <c r="B40" s="545"/>
      <c r="C40" s="84"/>
      <c r="I40" s="87" t="s">
        <v>267</v>
      </c>
      <c r="J40" s="87"/>
      <c r="K40" s="338">
        <f>+'BORROWING SUMMARY'!S16</f>
        <v>1777925370.8400002</v>
      </c>
    </row>
    <row r="41" spans="1:13" x14ac:dyDescent="0.3">
      <c r="A41" s="85"/>
      <c r="B41" s="545"/>
      <c r="C41" s="84"/>
      <c r="D41" s="234" t="s">
        <v>201</v>
      </c>
      <c r="E41" s="234"/>
      <c r="F41" s="234"/>
      <c r="G41" s="340">
        <v>0</v>
      </c>
      <c r="I41" s="234" t="s">
        <v>268</v>
      </c>
      <c r="J41" s="234"/>
      <c r="K41" s="339">
        <f>'BORROWING SUMMARY'!S22</f>
        <v>893515672.42999995</v>
      </c>
    </row>
    <row r="42" spans="1:13" x14ac:dyDescent="0.3">
      <c r="C42" s="84"/>
      <c r="D42" s="87" t="s">
        <v>60</v>
      </c>
      <c r="E42" s="87"/>
      <c r="F42" s="87"/>
      <c r="G42" s="341">
        <f>H8+H14+H17+H19+H21+H23+H33+H26+H27+H10+H28+H29</f>
        <v>7342974.2465753406</v>
      </c>
    </row>
    <row r="43" spans="1:13" ht="18" x14ac:dyDescent="0.35">
      <c r="A43" s="85"/>
      <c r="B43" s="545"/>
      <c r="C43" s="231"/>
      <c r="D43" s="87" t="s">
        <v>61</v>
      </c>
      <c r="E43" s="87"/>
      <c r="F43" s="87"/>
      <c r="G43" s="341">
        <f>H5+H7+H9+H13+H16+H18+H20+H22+H24+H32+H6+H11+H25+H12</f>
        <v>12728574.682224244</v>
      </c>
    </row>
    <row r="45" spans="1:13" ht="16.2" thickBot="1" x14ac:dyDescent="0.35">
      <c r="D45" s="86" t="s">
        <v>62</v>
      </c>
      <c r="E45" s="86"/>
      <c r="F45" s="86"/>
      <c r="G45" s="342">
        <f>SUM(G40:G44)</f>
        <v>20071548.928799585</v>
      </c>
    </row>
    <row r="46" spans="1:13" ht="16.2" thickTop="1" x14ac:dyDescent="0.3"/>
    <row r="47" spans="1:13" ht="18" x14ac:dyDescent="0.35">
      <c r="A47" s="196"/>
      <c r="B47" s="232"/>
      <c r="C47" s="232"/>
      <c r="D47" s="232"/>
      <c r="G47" s="32">
        <f>+G45-H35</f>
        <v>-6489616.4383561574</v>
      </c>
    </row>
  </sheetData>
  <autoFilter ref="A4:K43" xr:uid="{F50FAF57-2C2F-47AA-95B2-0C3007813A9B}"/>
  <mergeCells count="3">
    <mergeCell ref="A1:K1"/>
    <mergeCell ref="A2:J2"/>
    <mergeCell ref="A34:K34"/>
  </mergeCells>
  <printOptions horizontalCentered="1" verticalCentered="1"/>
  <pageMargins left="0.5" right="0.5" top="0.5" bottom="0.5" header="0.5" footer="0.5"/>
  <pageSetup scale="67" orientation="landscape" r:id="rId1"/>
  <headerFooter alignWithMargins="0">
    <oddFooter>&amp;L&amp;D  ^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237B-0240-44F0-A3AF-93EB15003C90}">
  <sheetPr>
    <tabColor theme="0"/>
    <pageSetUpPr fitToPage="1"/>
  </sheetPr>
  <dimension ref="A1:I92"/>
  <sheetViews>
    <sheetView showGridLines="0" topLeftCell="A69" zoomScaleNormal="100" zoomScaleSheetLayoutView="90" workbookViewId="0">
      <selection activeCell="B76" sqref="B76:D76"/>
    </sheetView>
  </sheetViews>
  <sheetFormatPr defaultColWidth="8.90625" defaultRowHeight="13.8" x14ac:dyDescent="0.3"/>
  <cols>
    <col min="1" max="1" width="16.1796875" style="3" customWidth="1"/>
    <col min="2" max="4" width="12.453125" style="31" bestFit="1" customWidth="1"/>
    <col min="5" max="5" width="11.81640625" style="3" bestFit="1" customWidth="1"/>
    <col min="6" max="6" width="12.81640625" style="3" bestFit="1" customWidth="1"/>
    <col min="7" max="7" width="11" style="3" bestFit="1" customWidth="1"/>
    <col min="8" max="8" width="9.81640625" style="3" bestFit="1" customWidth="1"/>
    <col min="9" max="9" width="11" style="3" bestFit="1" customWidth="1"/>
    <col min="10" max="16384" width="8.90625" style="3"/>
  </cols>
  <sheetData>
    <row r="1" spans="1:9" ht="18" x14ac:dyDescent="0.35">
      <c r="A1" s="7" t="s">
        <v>35</v>
      </c>
      <c r="B1" s="196"/>
      <c r="C1" s="196"/>
      <c r="D1" s="196"/>
      <c r="E1" s="2"/>
    </row>
    <row r="2" spans="1:9" ht="18.600000000000001" thickBot="1" x14ac:dyDescent="0.4">
      <c r="A2" s="8" t="s">
        <v>335</v>
      </c>
      <c r="B2" s="72"/>
      <c r="C2" s="72"/>
      <c r="D2" s="72"/>
      <c r="E2" s="27">
        <f>'FINANCIAL COST SUMMARY'!K2</f>
        <v>46204</v>
      </c>
    </row>
    <row r="3" spans="1:9" x14ac:dyDescent="0.3">
      <c r="A3" s="4"/>
      <c r="B3" s="533"/>
      <c r="C3" s="533"/>
      <c r="D3" s="533"/>
      <c r="E3" s="49"/>
    </row>
    <row r="4" spans="1:9" x14ac:dyDescent="0.3">
      <c r="A4" s="943" t="s">
        <v>19</v>
      </c>
      <c r="B4" s="943"/>
      <c r="C4" s="943"/>
      <c r="D4" s="943"/>
      <c r="E4" s="943"/>
    </row>
    <row r="5" spans="1:9" s="75" customFormat="1" ht="45" customHeight="1" x14ac:dyDescent="0.25">
      <c r="A5" s="51" t="s">
        <v>2</v>
      </c>
      <c r="B5" s="531" t="s">
        <v>372</v>
      </c>
      <c r="C5" s="531" t="s">
        <v>372</v>
      </c>
      <c r="D5" s="531" t="s">
        <v>376</v>
      </c>
      <c r="E5" s="395" t="s">
        <v>0</v>
      </c>
      <c r="G5" s="82">
        <v>46065</v>
      </c>
      <c r="H5" s="75">
        <v>180</v>
      </c>
      <c r="I5" s="82">
        <f>G5+H5</f>
        <v>46245</v>
      </c>
    </row>
    <row r="6" spans="1:9" x14ac:dyDescent="0.3">
      <c r="A6" s="6">
        <v>46204</v>
      </c>
      <c r="B6" s="330">
        <v>200000000</v>
      </c>
      <c r="C6" s="330">
        <v>200000000</v>
      </c>
      <c r="D6" s="330">
        <v>200000000</v>
      </c>
      <c r="E6" s="35">
        <f>SUM(B6:D6)</f>
        <v>600000000</v>
      </c>
      <c r="F6" s="31"/>
      <c r="G6" s="76"/>
      <c r="I6" s="76"/>
    </row>
    <row r="7" spans="1:9" x14ac:dyDescent="0.3">
      <c r="A7" s="6">
        <f>+A6+1</f>
        <v>46205</v>
      </c>
      <c r="B7" s="330">
        <v>200000000</v>
      </c>
      <c r="C7" s="330">
        <v>200000000</v>
      </c>
      <c r="D7" s="330">
        <v>200000000</v>
      </c>
      <c r="E7" s="35">
        <f t="shared" ref="E7:E32" si="0">SUM(B7:D7)</f>
        <v>600000000</v>
      </c>
      <c r="F7" s="76"/>
      <c r="H7" s="76"/>
      <c r="I7" s="76"/>
    </row>
    <row r="8" spans="1:9" x14ac:dyDescent="0.3">
      <c r="A8" s="6">
        <f t="shared" ref="A8:A36" si="1">+A7+1</f>
        <v>46206</v>
      </c>
      <c r="B8" s="330">
        <v>200000000</v>
      </c>
      <c r="C8" s="330">
        <v>200000000</v>
      </c>
      <c r="D8" s="330">
        <v>200000000</v>
      </c>
      <c r="E8" s="35">
        <f t="shared" si="0"/>
        <v>600000000</v>
      </c>
      <c r="F8" s="325"/>
    </row>
    <row r="9" spans="1:9" x14ac:dyDescent="0.3">
      <c r="A9" s="6">
        <f t="shared" si="1"/>
        <v>46207</v>
      </c>
      <c r="B9" s="330">
        <v>200000000</v>
      </c>
      <c r="C9" s="330">
        <v>200000000</v>
      </c>
      <c r="D9" s="330">
        <v>200000000</v>
      </c>
      <c r="E9" s="35">
        <f t="shared" si="0"/>
        <v>600000000</v>
      </c>
      <c r="F9" s="325"/>
    </row>
    <row r="10" spans="1:9" x14ac:dyDescent="0.3">
      <c r="A10" s="6">
        <f t="shared" si="1"/>
        <v>46208</v>
      </c>
      <c r="B10" s="330">
        <v>200000000</v>
      </c>
      <c r="C10" s="330">
        <v>200000000</v>
      </c>
      <c r="D10" s="330">
        <v>200000000</v>
      </c>
      <c r="E10" s="35">
        <f t="shared" si="0"/>
        <v>600000000</v>
      </c>
      <c r="G10" s="325"/>
    </row>
    <row r="11" spans="1:9" x14ac:dyDescent="0.3">
      <c r="A11" s="6">
        <f t="shared" si="1"/>
        <v>46209</v>
      </c>
      <c r="B11" s="330">
        <v>200000000</v>
      </c>
      <c r="C11" s="330">
        <v>200000000</v>
      </c>
      <c r="D11" s="330">
        <v>200000000</v>
      </c>
      <c r="E11" s="35">
        <f t="shared" si="0"/>
        <v>600000000</v>
      </c>
      <c r="G11" s="325"/>
    </row>
    <row r="12" spans="1:9" x14ac:dyDescent="0.3">
      <c r="A12" s="6">
        <f t="shared" si="1"/>
        <v>46210</v>
      </c>
      <c r="B12" s="330">
        <v>200000000</v>
      </c>
      <c r="C12" s="330">
        <v>200000000</v>
      </c>
      <c r="D12" s="330">
        <v>200000000</v>
      </c>
      <c r="E12" s="35">
        <f t="shared" si="0"/>
        <v>600000000</v>
      </c>
      <c r="F12" s="76"/>
      <c r="G12" s="325"/>
      <c r="H12" s="76"/>
    </row>
    <row r="13" spans="1:9" x14ac:dyDescent="0.3">
      <c r="A13" s="6">
        <f t="shared" si="1"/>
        <v>46211</v>
      </c>
      <c r="B13" s="330">
        <v>200000000</v>
      </c>
      <c r="C13" s="330">
        <v>200000000</v>
      </c>
      <c r="D13" s="330">
        <v>200000000</v>
      </c>
      <c r="E13" s="35">
        <f t="shared" si="0"/>
        <v>600000000</v>
      </c>
      <c r="G13" s="34"/>
    </row>
    <row r="14" spans="1:9" x14ac:dyDescent="0.3">
      <c r="A14" s="6">
        <f t="shared" si="1"/>
        <v>46212</v>
      </c>
      <c r="B14" s="330">
        <v>200000000</v>
      </c>
      <c r="C14" s="330">
        <v>200000000</v>
      </c>
      <c r="D14" s="330">
        <v>200000000</v>
      </c>
      <c r="E14" s="35">
        <f t="shared" si="0"/>
        <v>600000000</v>
      </c>
      <c r="G14" s="257"/>
    </row>
    <row r="15" spans="1:9" x14ac:dyDescent="0.3">
      <c r="A15" s="6">
        <f t="shared" si="1"/>
        <v>46213</v>
      </c>
      <c r="B15" s="330">
        <v>200000000</v>
      </c>
      <c r="C15" s="330">
        <v>200000000</v>
      </c>
      <c r="D15" s="330">
        <v>200000000</v>
      </c>
      <c r="E15" s="35">
        <f t="shared" si="0"/>
        <v>600000000</v>
      </c>
    </row>
    <row r="16" spans="1:9" x14ac:dyDescent="0.3">
      <c r="A16" s="6">
        <f t="shared" si="1"/>
        <v>46214</v>
      </c>
      <c r="B16" s="330">
        <v>200000000</v>
      </c>
      <c r="C16" s="330">
        <v>200000000</v>
      </c>
      <c r="D16" s="330">
        <v>200000000</v>
      </c>
      <c r="E16" s="35">
        <f t="shared" si="0"/>
        <v>600000000</v>
      </c>
    </row>
    <row r="17" spans="1:7" x14ac:dyDescent="0.3">
      <c r="A17" s="6">
        <f t="shared" si="1"/>
        <v>46215</v>
      </c>
      <c r="B17" s="330">
        <v>200000000</v>
      </c>
      <c r="C17" s="330">
        <v>200000000</v>
      </c>
      <c r="D17" s="330">
        <v>200000000</v>
      </c>
      <c r="E17" s="35">
        <f t="shared" si="0"/>
        <v>600000000</v>
      </c>
    </row>
    <row r="18" spans="1:7" x14ac:dyDescent="0.3">
      <c r="A18" s="6">
        <f t="shared" si="1"/>
        <v>46216</v>
      </c>
      <c r="B18" s="330">
        <v>200000000</v>
      </c>
      <c r="C18" s="330">
        <v>200000000</v>
      </c>
      <c r="D18" s="330">
        <v>200000000</v>
      </c>
      <c r="E18" s="35">
        <f t="shared" si="0"/>
        <v>600000000</v>
      </c>
    </row>
    <row r="19" spans="1:7" x14ac:dyDescent="0.3">
      <c r="A19" s="6">
        <f t="shared" si="1"/>
        <v>46217</v>
      </c>
      <c r="B19" s="330">
        <v>200000000</v>
      </c>
      <c r="C19" s="330">
        <v>200000000</v>
      </c>
      <c r="D19" s="330">
        <v>200000000</v>
      </c>
      <c r="E19" s="35">
        <f t="shared" si="0"/>
        <v>600000000</v>
      </c>
    </row>
    <row r="20" spans="1:7" x14ac:dyDescent="0.3">
      <c r="A20" s="6">
        <f t="shared" si="1"/>
        <v>46218</v>
      </c>
      <c r="B20" s="330">
        <v>200000000</v>
      </c>
      <c r="C20" s="330">
        <v>200000000</v>
      </c>
      <c r="D20" s="330">
        <v>200000000</v>
      </c>
      <c r="E20" s="35">
        <f t="shared" si="0"/>
        <v>600000000</v>
      </c>
    </row>
    <row r="21" spans="1:7" x14ac:dyDescent="0.3">
      <c r="A21" s="315">
        <f t="shared" si="1"/>
        <v>46219</v>
      </c>
      <c r="B21" s="330">
        <v>200000000</v>
      </c>
      <c r="C21" s="330">
        <v>200000000</v>
      </c>
      <c r="D21" s="330">
        <v>200000000</v>
      </c>
      <c r="E21" s="35">
        <f t="shared" si="0"/>
        <v>600000000</v>
      </c>
    </row>
    <row r="22" spans="1:7" x14ac:dyDescent="0.3">
      <c r="A22" s="6">
        <f t="shared" si="1"/>
        <v>46220</v>
      </c>
      <c r="B22" s="330">
        <v>200000000</v>
      </c>
      <c r="C22" s="330">
        <v>200000000</v>
      </c>
      <c r="D22" s="330">
        <v>200000000</v>
      </c>
      <c r="E22" s="35">
        <f t="shared" si="0"/>
        <v>600000000</v>
      </c>
    </row>
    <row r="23" spans="1:7" x14ac:dyDescent="0.3">
      <c r="A23" s="6">
        <f t="shared" si="1"/>
        <v>46221</v>
      </c>
      <c r="B23" s="330">
        <v>200000000</v>
      </c>
      <c r="C23" s="330">
        <v>200000000</v>
      </c>
      <c r="D23" s="330">
        <v>200000000</v>
      </c>
      <c r="E23" s="35">
        <f t="shared" si="0"/>
        <v>600000000</v>
      </c>
    </row>
    <row r="24" spans="1:7" x14ac:dyDescent="0.3">
      <c r="A24" s="6">
        <f t="shared" si="1"/>
        <v>46222</v>
      </c>
      <c r="B24" s="330">
        <v>200000000</v>
      </c>
      <c r="C24" s="330">
        <v>200000000</v>
      </c>
      <c r="D24" s="330">
        <v>200000000</v>
      </c>
      <c r="E24" s="35">
        <f t="shared" si="0"/>
        <v>600000000</v>
      </c>
    </row>
    <row r="25" spans="1:7" x14ac:dyDescent="0.3">
      <c r="A25" s="6">
        <f t="shared" si="1"/>
        <v>46223</v>
      </c>
      <c r="B25" s="330">
        <v>200000000</v>
      </c>
      <c r="C25" s="330">
        <v>200000000</v>
      </c>
      <c r="D25" s="330">
        <v>200000000</v>
      </c>
      <c r="E25" s="35">
        <f t="shared" si="0"/>
        <v>600000000</v>
      </c>
    </row>
    <row r="26" spans="1:7" s="331" customFormat="1" x14ac:dyDescent="0.3">
      <c r="A26" s="315">
        <f t="shared" si="1"/>
        <v>46224</v>
      </c>
      <c r="B26" s="330">
        <v>200000000</v>
      </c>
      <c r="C26" s="330">
        <v>200000000</v>
      </c>
      <c r="D26" s="330">
        <v>200000000</v>
      </c>
      <c r="E26" s="35">
        <f t="shared" si="0"/>
        <v>600000000</v>
      </c>
    </row>
    <row r="27" spans="1:7" x14ac:dyDescent="0.3">
      <c r="A27" s="315">
        <f t="shared" si="1"/>
        <v>46225</v>
      </c>
      <c r="B27" s="330">
        <v>200000000</v>
      </c>
      <c r="C27" s="330">
        <v>200000000</v>
      </c>
      <c r="D27" s="330">
        <v>200000000</v>
      </c>
      <c r="E27" s="35">
        <f t="shared" si="0"/>
        <v>600000000</v>
      </c>
      <c r="F27" s="2"/>
      <c r="G27" s="34"/>
    </row>
    <row r="28" spans="1:7" x14ac:dyDescent="0.3">
      <c r="A28" s="315">
        <f t="shared" si="1"/>
        <v>46226</v>
      </c>
      <c r="B28" s="330">
        <v>200000000</v>
      </c>
      <c r="C28" s="330">
        <v>200000000</v>
      </c>
      <c r="D28" s="330">
        <v>200000000</v>
      </c>
      <c r="E28" s="35">
        <f t="shared" si="0"/>
        <v>600000000</v>
      </c>
    </row>
    <row r="29" spans="1:7" x14ac:dyDescent="0.3">
      <c r="A29" s="6">
        <f t="shared" si="1"/>
        <v>46227</v>
      </c>
      <c r="B29" s="330">
        <v>200000000</v>
      </c>
      <c r="C29" s="330">
        <v>200000000</v>
      </c>
      <c r="D29" s="330">
        <v>200000000</v>
      </c>
      <c r="E29" s="35">
        <f t="shared" si="0"/>
        <v>600000000</v>
      </c>
    </row>
    <row r="30" spans="1:7" x14ac:dyDescent="0.3">
      <c r="A30" s="6">
        <f t="shared" si="1"/>
        <v>46228</v>
      </c>
      <c r="B30" s="330">
        <v>200000000</v>
      </c>
      <c r="C30" s="330">
        <v>200000000</v>
      </c>
      <c r="D30" s="330">
        <v>200000000</v>
      </c>
      <c r="E30" s="35">
        <f t="shared" si="0"/>
        <v>600000000</v>
      </c>
    </row>
    <row r="31" spans="1:7" x14ac:dyDescent="0.3">
      <c r="A31" s="6">
        <f t="shared" si="1"/>
        <v>46229</v>
      </c>
      <c r="B31" s="330">
        <v>200000000</v>
      </c>
      <c r="C31" s="330">
        <v>200000000</v>
      </c>
      <c r="D31" s="330">
        <v>200000000</v>
      </c>
      <c r="E31" s="35">
        <f t="shared" si="0"/>
        <v>600000000</v>
      </c>
    </row>
    <row r="32" spans="1:7" x14ac:dyDescent="0.3">
      <c r="A32" s="6">
        <f t="shared" si="1"/>
        <v>46230</v>
      </c>
      <c r="B32" s="330">
        <v>200000000</v>
      </c>
      <c r="C32" s="330">
        <v>200000000</v>
      </c>
      <c r="D32" s="330">
        <v>200000000</v>
      </c>
      <c r="E32" s="35">
        <f t="shared" si="0"/>
        <v>600000000</v>
      </c>
    </row>
    <row r="33" spans="1:9" x14ac:dyDescent="0.3">
      <c r="A33" s="6">
        <f t="shared" si="1"/>
        <v>46231</v>
      </c>
      <c r="B33" s="330">
        <v>200000000</v>
      </c>
      <c r="C33" s="330">
        <v>200000000</v>
      </c>
      <c r="D33" s="330">
        <v>200000000</v>
      </c>
      <c r="E33" s="35">
        <f>SUM(B33:D33)</f>
        <v>600000000</v>
      </c>
    </row>
    <row r="34" spans="1:9" x14ac:dyDescent="0.3">
      <c r="A34" s="6">
        <f t="shared" si="1"/>
        <v>46232</v>
      </c>
      <c r="B34" s="330">
        <v>200000000</v>
      </c>
      <c r="C34" s="330">
        <v>200000000</v>
      </c>
      <c r="D34" s="330">
        <v>200000000</v>
      </c>
      <c r="E34" s="35">
        <f>SUM(B34:D34)</f>
        <v>600000000</v>
      </c>
    </row>
    <row r="35" spans="1:9" x14ac:dyDescent="0.3">
      <c r="A35" s="6">
        <f t="shared" si="1"/>
        <v>46233</v>
      </c>
      <c r="B35" s="330">
        <v>200000000</v>
      </c>
      <c r="C35" s="330">
        <v>200000000</v>
      </c>
      <c r="D35" s="330">
        <v>200000000</v>
      </c>
      <c r="E35" s="35">
        <f>SUM(B35:D35)</f>
        <v>600000000</v>
      </c>
    </row>
    <row r="36" spans="1:9" x14ac:dyDescent="0.3">
      <c r="A36" s="6">
        <f t="shared" si="1"/>
        <v>46234</v>
      </c>
      <c r="B36" s="330">
        <v>200000000</v>
      </c>
      <c r="C36" s="330">
        <v>200000000</v>
      </c>
      <c r="D36" s="330">
        <v>200000000</v>
      </c>
      <c r="E36" s="35">
        <f>SUM(B36:D36)</f>
        <v>600000000</v>
      </c>
    </row>
    <row r="37" spans="1:9" x14ac:dyDescent="0.3">
      <c r="A37" s="124"/>
      <c r="B37" s="612"/>
      <c r="C37" s="612"/>
      <c r="D37" s="612"/>
      <c r="E37" s="492"/>
    </row>
    <row r="38" spans="1:9" x14ac:dyDescent="0.3">
      <c r="A38" s="943" t="s">
        <v>56</v>
      </c>
      <c r="B38" s="943"/>
      <c r="C38" s="943"/>
      <c r="D38" s="943"/>
      <c r="E38" s="943"/>
      <c r="I38" s="331"/>
    </row>
    <row r="39" spans="1:9" s="75" customFormat="1" ht="56.4" customHeight="1" x14ac:dyDescent="0.25">
      <c r="A39" s="51" t="s">
        <v>2</v>
      </c>
      <c r="B39" s="398" t="str">
        <f>B5</f>
        <v>(C.D 15.01.2026, M.D 14.07.2026)</v>
      </c>
      <c r="C39" s="398" t="str">
        <f>C5</f>
        <v>(C.D 15.01.2026, M.D 14.07.2026)</v>
      </c>
      <c r="D39" s="398" t="str">
        <f>D5</f>
        <v>(C.D 12.02.2026, M.D 11.08.2026)</v>
      </c>
      <c r="E39" s="395" t="s">
        <v>0</v>
      </c>
    </row>
    <row r="40" spans="1:9" s="91" customFormat="1" ht="27.6" x14ac:dyDescent="0.25">
      <c r="A40" s="375" t="s">
        <v>371</v>
      </c>
      <c r="B40" s="532">
        <f>10.36%+0.15%</f>
        <v>0.1051</v>
      </c>
      <c r="C40" s="532">
        <f>10.36%+0.15%</f>
        <v>0.1051</v>
      </c>
      <c r="D40" s="532">
        <f>10.52%+0.15%</f>
        <v>0.1067</v>
      </c>
      <c r="E40" s="527"/>
    </row>
    <row r="41" spans="1:9" x14ac:dyDescent="0.3">
      <c r="A41" s="6">
        <f t="shared" ref="A41:A70" si="2">A6</f>
        <v>46204</v>
      </c>
      <c r="B41" s="5">
        <f t="shared" ref="B41:D71" si="3">IF(B6&lt;0,0,B6*B$40/365)</f>
        <v>57589.04109589041</v>
      </c>
      <c r="C41" s="5">
        <f t="shared" si="3"/>
        <v>57589.04109589041</v>
      </c>
      <c r="D41" s="5">
        <f t="shared" si="3"/>
        <v>58465.753424657538</v>
      </c>
      <c r="E41" s="35">
        <f>SUM(B41:D41)</f>
        <v>173643.83561643836</v>
      </c>
    </row>
    <row r="42" spans="1:9" x14ac:dyDescent="0.3">
      <c r="A42" s="6">
        <f t="shared" si="2"/>
        <v>46205</v>
      </c>
      <c r="B42" s="5">
        <f t="shared" si="3"/>
        <v>57589.04109589041</v>
      </c>
      <c r="C42" s="5">
        <f t="shared" si="3"/>
        <v>57589.04109589041</v>
      </c>
      <c r="D42" s="5">
        <f t="shared" si="3"/>
        <v>58465.753424657538</v>
      </c>
      <c r="E42" s="35">
        <f t="shared" ref="E42:E67" si="4">SUM(B42:D42)</f>
        <v>173643.83561643836</v>
      </c>
    </row>
    <row r="43" spans="1:9" x14ac:dyDescent="0.3">
      <c r="A43" s="6">
        <f t="shared" si="2"/>
        <v>46206</v>
      </c>
      <c r="B43" s="5">
        <f t="shared" si="3"/>
        <v>57589.04109589041</v>
      </c>
      <c r="C43" s="5">
        <f t="shared" si="3"/>
        <v>57589.04109589041</v>
      </c>
      <c r="D43" s="5">
        <f t="shared" si="3"/>
        <v>58465.753424657538</v>
      </c>
      <c r="E43" s="35">
        <f t="shared" si="4"/>
        <v>173643.83561643836</v>
      </c>
    </row>
    <row r="44" spans="1:9" x14ac:dyDescent="0.3">
      <c r="A44" s="6">
        <f t="shared" si="2"/>
        <v>46207</v>
      </c>
      <c r="B44" s="5">
        <f t="shared" si="3"/>
        <v>57589.04109589041</v>
      </c>
      <c r="C44" s="5">
        <f t="shared" si="3"/>
        <v>57589.04109589041</v>
      </c>
      <c r="D44" s="5">
        <f t="shared" si="3"/>
        <v>58465.753424657538</v>
      </c>
      <c r="E44" s="35">
        <f t="shared" si="4"/>
        <v>173643.83561643836</v>
      </c>
      <c r="G44" s="34"/>
    </row>
    <row r="45" spans="1:9" x14ac:dyDescent="0.3">
      <c r="A45" s="6">
        <f t="shared" si="2"/>
        <v>46208</v>
      </c>
      <c r="B45" s="5">
        <f t="shared" si="3"/>
        <v>57589.04109589041</v>
      </c>
      <c r="C45" s="5">
        <f t="shared" si="3"/>
        <v>57589.04109589041</v>
      </c>
      <c r="D45" s="5">
        <f t="shared" si="3"/>
        <v>58465.753424657538</v>
      </c>
      <c r="E45" s="35">
        <f t="shared" si="4"/>
        <v>173643.83561643836</v>
      </c>
    </row>
    <row r="46" spans="1:9" x14ac:dyDescent="0.3">
      <c r="A46" s="6">
        <f t="shared" si="2"/>
        <v>46209</v>
      </c>
      <c r="B46" s="5">
        <f t="shared" si="3"/>
        <v>57589.04109589041</v>
      </c>
      <c r="C46" s="5">
        <f t="shared" si="3"/>
        <v>57589.04109589041</v>
      </c>
      <c r="D46" s="5">
        <f t="shared" si="3"/>
        <v>58465.753424657538</v>
      </c>
      <c r="E46" s="35">
        <f t="shared" si="4"/>
        <v>173643.83561643836</v>
      </c>
    </row>
    <row r="47" spans="1:9" x14ac:dyDescent="0.3">
      <c r="A47" s="6">
        <f t="shared" si="2"/>
        <v>46210</v>
      </c>
      <c r="B47" s="5">
        <f t="shared" si="3"/>
        <v>57589.04109589041</v>
      </c>
      <c r="C47" s="5">
        <f t="shared" si="3"/>
        <v>57589.04109589041</v>
      </c>
      <c r="D47" s="5">
        <f t="shared" si="3"/>
        <v>58465.753424657538</v>
      </c>
      <c r="E47" s="35">
        <f t="shared" si="4"/>
        <v>173643.83561643836</v>
      </c>
    </row>
    <row r="48" spans="1:9" x14ac:dyDescent="0.3">
      <c r="A48" s="6">
        <f t="shared" si="2"/>
        <v>46211</v>
      </c>
      <c r="B48" s="5">
        <f t="shared" si="3"/>
        <v>57589.04109589041</v>
      </c>
      <c r="C48" s="5">
        <f t="shared" si="3"/>
        <v>57589.04109589041</v>
      </c>
      <c r="D48" s="5">
        <f t="shared" si="3"/>
        <v>58465.753424657538</v>
      </c>
      <c r="E48" s="35">
        <f t="shared" si="4"/>
        <v>173643.83561643836</v>
      </c>
    </row>
    <row r="49" spans="1:5" x14ac:dyDescent="0.3">
      <c r="A49" s="6">
        <f t="shared" si="2"/>
        <v>46212</v>
      </c>
      <c r="B49" s="5">
        <f t="shared" si="3"/>
        <v>57589.04109589041</v>
      </c>
      <c r="C49" s="5">
        <f t="shared" si="3"/>
        <v>57589.04109589041</v>
      </c>
      <c r="D49" s="5">
        <f t="shared" si="3"/>
        <v>58465.753424657538</v>
      </c>
      <c r="E49" s="35">
        <f t="shared" si="4"/>
        <v>173643.83561643836</v>
      </c>
    </row>
    <row r="50" spans="1:5" x14ac:dyDescent="0.3">
      <c r="A50" s="6">
        <f t="shared" si="2"/>
        <v>46213</v>
      </c>
      <c r="B50" s="5">
        <f t="shared" si="3"/>
        <v>57589.04109589041</v>
      </c>
      <c r="C50" s="5">
        <f t="shared" si="3"/>
        <v>57589.04109589041</v>
      </c>
      <c r="D50" s="5">
        <f t="shared" si="3"/>
        <v>58465.753424657538</v>
      </c>
      <c r="E50" s="35">
        <f t="shared" si="4"/>
        <v>173643.83561643836</v>
      </c>
    </row>
    <row r="51" spans="1:5" x14ac:dyDescent="0.3">
      <c r="A51" s="6">
        <f t="shared" si="2"/>
        <v>46214</v>
      </c>
      <c r="B51" s="5">
        <f t="shared" si="3"/>
        <v>57589.04109589041</v>
      </c>
      <c r="C51" s="5">
        <f t="shared" si="3"/>
        <v>57589.04109589041</v>
      </c>
      <c r="D51" s="5">
        <f t="shared" si="3"/>
        <v>58465.753424657538</v>
      </c>
      <c r="E51" s="35">
        <f t="shared" si="4"/>
        <v>173643.83561643836</v>
      </c>
    </row>
    <row r="52" spans="1:5" x14ac:dyDescent="0.3">
      <c r="A52" s="6">
        <f t="shared" si="2"/>
        <v>46215</v>
      </c>
      <c r="B52" s="5">
        <f t="shared" si="3"/>
        <v>57589.04109589041</v>
      </c>
      <c r="C52" s="5">
        <f t="shared" si="3"/>
        <v>57589.04109589041</v>
      </c>
      <c r="D52" s="5">
        <f t="shared" si="3"/>
        <v>58465.753424657538</v>
      </c>
      <c r="E52" s="35">
        <f t="shared" si="4"/>
        <v>173643.83561643836</v>
      </c>
    </row>
    <row r="53" spans="1:5" x14ac:dyDescent="0.3">
      <c r="A53" s="6">
        <f t="shared" si="2"/>
        <v>46216</v>
      </c>
      <c r="B53" s="5">
        <f t="shared" si="3"/>
        <v>57589.04109589041</v>
      </c>
      <c r="C53" s="5">
        <f t="shared" si="3"/>
        <v>57589.04109589041</v>
      </c>
      <c r="D53" s="5">
        <f t="shared" si="3"/>
        <v>58465.753424657538</v>
      </c>
      <c r="E53" s="35">
        <f t="shared" si="4"/>
        <v>173643.83561643836</v>
      </c>
    </row>
    <row r="54" spans="1:5" x14ac:dyDescent="0.3">
      <c r="A54" s="6">
        <f t="shared" si="2"/>
        <v>46217</v>
      </c>
      <c r="B54" s="5">
        <f t="shared" si="3"/>
        <v>57589.04109589041</v>
      </c>
      <c r="C54" s="5">
        <f t="shared" si="3"/>
        <v>57589.04109589041</v>
      </c>
      <c r="D54" s="5">
        <f t="shared" si="3"/>
        <v>58465.753424657538</v>
      </c>
      <c r="E54" s="35">
        <f t="shared" si="4"/>
        <v>173643.83561643836</v>
      </c>
    </row>
    <row r="55" spans="1:5" x14ac:dyDescent="0.3">
      <c r="A55" s="6">
        <f t="shared" si="2"/>
        <v>46218</v>
      </c>
      <c r="B55" s="5">
        <f t="shared" si="3"/>
        <v>57589.04109589041</v>
      </c>
      <c r="C55" s="5">
        <f t="shared" si="3"/>
        <v>57589.04109589041</v>
      </c>
      <c r="D55" s="5">
        <f t="shared" si="3"/>
        <v>58465.753424657538</v>
      </c>
      <c r="E55" s="35">
        <f t="shared" si="4"/>
        <v>173643.83561643836</v>
      </c>
    </row>
    <row r="56" spans="1:5" x14ac:dyDescent="0.3">
      <c r="A56" s="6">
        <f t="shared" si="2"/>
        <v>46219</v>
      </c>
      <c r="B56" s="5">
        <f t="shared" si="3"/>
        <v>57589.04109589041</v>
      </c>
      <c r="C56" s="5">
        <f t="shared" si="3"/>
        <v>57589.04109589041</v>
      </c>
      <c r="D56" s="5">
        <f t="shared" si="3"/>
        <v>58465.753424657538</v>
      </c>
      <c r="E56" s="35">
        <f t="shared" si="4"/>
        <v>173643.83561643836</v>
      </c>
    </row>
    <row r="57" spans="1:5" x14ac:dyDescent="0.3">
      <c r="A57" s="6">
        <f t="shared" si="2"/>
        <v>46220</v>
      </c>
      <c r="B57" s="5">
        <f t="shared" si="3"/>
        <v>57589.04109589041</v>
      </c>
      <c r="C57" s="5">
        <f t="shared" si="3"/>
        <v>57589.04109589041</v>
      </c>
      <c r="D57" s="5">
        <f t="shared" si="3"/>
        <v>58465.753424657538</v>
      </c>
      <c r="E57" s="35">
        <f t="shared" si="4"/>
        <v>173643.83561643836</v>
      </c>
    </row>
    <row r="58" spans="1:5" x14ac:dyDescent="0.3">
      <c r="A58" s="6">
        <f t="shared" si="2"/>
        <v>46221</v>
      </c>
      <c r="B58" s="5">
        <f t="shared" si="3"/>
        <v>57589.04109589041</v>
      </c>
      <c r="C58" s="5">
        <f t="shared" si="3"/>
        <v>57589.04109589041</v>
      </c>
      <c r="D58" s="5">
        <f t="shared" si="3"/>
        <v>58465.753424657538</v>
      </c>
      <c r="E58" s="35">
        <f t="shared" si="4"/>
        <v>173643.83561643836</v>
      </c>
    </row>
    <row r="59" spans="1:5" x14ac:dyDescent="0.3">
      <c r="A59" s="6">
        <f t="shared" si="2"/>
        <v>46222</v>
      </c>
      <c r="B59" s="5">
        <f t="shared" si="3"/>
        <v>57589.04109589041</v>
      </c>
      <c r="C59" s="5">
        <f t="shared" si="3"/>
        <v>57589.04109589041</v>
      </c>
      <c r="D59" s="5">
        <f t="shared" si="3"/>
        <v>58465.753424657538</v>
      </c>
      <c r="E59" s="35">
        <f t="shared" si="4"/>
        <v>173643.83561643836</v>
      </c>
    </row>
    <row r="60" spans="1:5" x14ac:dyDescent="0.3">
      <c r="A60" s="6">
        <f t="shared" si="2"/>
        <v>46223</v>
      </c>
      <c r="B60" s="5">
        <f t="shared" si="3"/>
        <v>57589.04109589041</v>
      </c>
      <c r="C60" s="5">
        <f t="shared" si="3"/>
        <v>57589.04109589041</v>
      </c>
      <c r="D60" s="5">
        <f t="shared" si="3"/>
        <v>58465.753424657538</v>
      </c>
      <c r="E60" s="35">
        <f t="shared" si="4"/>
        <v>173643.83561643836</v>
      </c>
    </row>
    <row r="61" spans="1:5" x14ac:dyDescent="0.3">
      <c r="A61" s="6">
        <f t="shared" si="2"/>
        <v>46224</v>
      </c>
      <c r="B61" s="5">
        <f t="shared" si="3"/>
        <v>57589.04109589041</v>
      </c>
      <c r="C61" s="5">
        <f t="shared" si="3"/>
        <v>57589.04109589041</v>
      </c>
      <c r="D61" s="5">
        <f t="shared" si="3"/>
        <v>58465.753424657538</v>
      </c>
      <c r="E61" s="35">
        <f t="shared" si="4"/>
        <v>173643.83561643836</v>
      </c>
    </row>
    <row r="62" spans="1:5" x14ac:dyDescent="0.3">
      <c r="A62" s="6">
        <f t="shared" si="2"/>
        <v>46225</v>
      </c>
      <c r="B62" s="5">
        <f t="shared" si="3"/>
        <v>57589.04109589041</v>
      </c>
      <c r="C62" s="5">
        <f t="shared" si="3"/>
        <v>57589.04109589041</v>
      </c>
      <c r="D62" s="5">
        <f t="shared" si="3"/>
        <v>58465.753424657538</v>
      </c>
      <c r="E62" s="35">
        <f t="shared" si="4"/>
        <v>173643.83561643836</v>
      </c>
    </row>
    <row r="63" spans="1:5" x14ac:dyDescent="0.3">
      <c r="A63" s="6">
        <f t="shared" si="2"/>
        <v>46226</v>
      </c>
      <c r="B63" s="5">
        <f t="shared" si="3"/>
        <v>57589.04109589041</v>
      </c>
      <c r="C63" s="5">
        <f t="shared" si="3"/>
        <v>57589.04109589041</v>
      </c>
      <c r="D63" s="5">
        <f t="shared" si="3"/>
        <v>58465.753424657538</v>
      </c>
      <c r="E63" s="35">
        <f t="shared" si="4"/>
        <v>173643.83561643836</v>
      </c>
    </row>
    <row r="64" spans="1:5" x14ac:dyDescent="0.3">
      <c r="A64" s="6">
        <f t="shared" si="2"/>
        <v>46227</v>
      </c>
      <c r="B64" s="5">
        <f t="shared" si="3"/>
        <v>57589.04109589041</v>
      </c>
      <c r="C64" s="5">
        <f t="shared" si="3"/>
        <v>57589.04109589041</v>
      </c>
      <c r="D64" s="5">
        <f t="shared" si="3"/>
        <v>58465.753424657538</v>
      </c>
      <c r="E64" s="35">
        <f t="shared" si="4"/>
        <v>173643.83561643836</v>
      </c>
    </row>
    <row r="65" spans="1:8" x14ac:dyDescent="0.3">
      <c r="A65" s="6">
        <f t="shared" si="2"/>
        <v>46228</v>
      </c>
      <c r="B65" s="5">
        <f t="shared" si="3"/>
        <v>57589.04109589041</v>
      </c>
      <c r="C65" s="5">
        <f t="shared" si="3"/>
        <v>57589.04109589041</v>
      </c>
      <c r="D65" s="5">
        <f t="shared" si="3"/>
        <v>58465.753424657538</v>
      </c>
      <c r="E65" s="35">
        <f t="shared" si="4"/>
        <v>173643.83561643836</v>
      </c>
    </row>
    <row r="66" spans="1:8" x14ac:dyDescent="0.3">
      <c r="A66" s="6">
        <f t="shared" si="2"/>
        <v>46229</v>
      </c>
      <c r="B66" s="5">
        <f t="shared" si="3"/>
        <v>57589.04109589041</v>
      </c>
      <c r="C66" s="5">
        <f t="shared" si="3"/>
        <v>57589.04109589041</v>
      </c>
      <c r="D66" s="5">
        <f t="shared" si="3"/>
        <v>58465.753424657538</v>
      </c>
      <c r="E66" s="35">
        <f t="shared" si="4"/>
        <v>173643.83561643836</v>
      </c>
    </row>
    <row r="67" spans="1:8" x14ac:dyDescent="0.3">
      <c r="A67" s="6">
        <f t="shared" si="2"/>
        <v>46230</v>
      </c>
      <c r="B67" s="5">
        <f t="shared" si="3"/>
        <v>57589.04109589041</v>
      </c>
      <c r="C67" s="5">
        <f t="shared" si="3"/>
        <v>57589.04109589041</v>
      </c>
      <c r="D67" s="5">
        <f t="shared" si="3"/>
        <v>58465.753424657538</v>
      </c>
      <c r="E67" s="35">
        <f t="shared" si="4"/>
        <v>173643.83561643836</v>
      </c>
    </row>
    <row r="68" spans="1:8" x14ac:dyDescent="0.3">
      <c r="A68" s="6">
        <f t="shared" si="2"/>
        <v>46231</v>
      </c>
      <c r="B68" s="5">
        <f t="shared" si="3"/>
        <v>57589.04109589041</v>
      </c>
      <c r="C68" s="5">
        <f t="shared" si="3"/>
        <v>57589.04109589041</v>
      </c>
      <c r="D68" s="5">
        <f t="shared" si="3"/>
        <v>58465.753424657538</v>
      </c>
      <c r="E68" s="35">
        <f>SUM(B68:D68)</f>
        <v>173643.83561643836</v>
      </c>
    </row>
    <row r="69" spans="1:8" x14ac:dyDescent="0.3">
      <c r="A69" s="6">
        <f t="shared" si="2"/>
        <v>46232</v>
      </c>
      <c r="B69" s="5">
        <f t="shared" si="3"/>
        <v>57589.04109589041</v>
      </c>
      <c r="C69" s="5">
        <f t="shared" si="3"/>
        <v>57589.04109589041</v>
      </c>
      <c r="D69" s="5">
        <f t="shared" si="3"/>
        <v>58465.753424657538</v>
      </c>
      <c r="E69" s="35">
        <f>SUM(B69:D69)</f>
        <v>173643.83561643836</v>
      </c>
    </row>
    <row r="70" spans="1:8" x14ac:dyDescent="0.3">
      <c r="A70" s="6">
        <f t="shared" si="2"/>
        <v>46233</v>
      </c>
      <c r="B70" s="5">
        <f t="shared" si="3"/>
        <v>57589.04109589041</v>
      </c>
      <c r="C70" s="5">
        <f t="shared" si="3"/>
        <v>57589.04109589041</v>
      </c>
      <c r="D70" s="5">
        <f t="shared" si="3"/>
        <v>58465.753424657538</v>
      </c>
      <c r="E70" s="35">
        <f>SUM(B70:D70)</f>
        <v>173643.83561643836</v>
      </c>
    </row>
    <row r="71" spans="1:8" x14ac:dyDescent="0.3">
      <c r="A71" s="6">
        <f t="shared" ref="A71" si="5">A36</f>
        <v>46234</v>
      </c>
      <c r="B71" s="5">
        <f t="shared" si="3"/>
        <v>57589.04109589041</v>
      </c>
      <c r="C71" s="5">
        <f t="shared" si="3"/>
        <v>57589.04109589041</v>
      </c>
      <c r="D71" s="5">
        <f t="shared" si="3"/>
        <v>58465.753424657538</v>
      </c>
      <c r="E71" s="35">
        <f>SUM(B71:D71)</f>
        <v>173643.83561643836</v>
      </c>
    </row>
    <row r="72" spans="1:8" x14ac:dyDescent="0.3">
      <c r="A72" s="9" t="s">
        <v>14</v>
      </c>
      <c r="B72" s="10">
        <f>SUM(B41:B71)</f>
        <v>1785260.2739726021</v>
      </c>
      <c r="C72" s="10">
        <f>SUM(C41:C71)</f>
        <v>1785260.2739726021</v>
      </c>
      <c r="D72" s="10">
        <f>SUM(D41:D71)</f>
        <v>1812438.356164383</v>
      </c>
      <c r="E72" s="10">
        <f>SUM(E41:E71)</f>
        <v>5382958.9041095898</v>
      </c>
    </row>
    <row r="73" spans="1:8" x14ac:dyDescent="0.3">
      <c r="A73" s="954"/>
      <c r="B73" s="954"/>
      <c r="C73" s="954"/>
      <c r="D73" s="954"/>
      <c r="E73" s="954"/>
    </row>
    <row r="74" spans="1:8" x14ac:dyDescent="0.3">
      <c r="A74" s="943" t="s">
        <v>73</v>
      </c>
      <c r="B74" s="943"/>
      <c r="C74" s="943"/>
      <c r="D74" s="943"/>
      <c r="E74" s="943"/>
    </row>
    <row r="75" spans="1:8" s="75" customFormat="1" ht="55.95" customHeight="1" x14ac:dyDescent="0.25">
      <c r="A75" s="397" t="s">
        <v>18</v>
      </c>
      <c r="B75" s="398" t="str">
        <f>B5</f>
        <v>(C.D 15.01.2026, M.D 14.07.2026)</v>
      </c>
      <c r="C75" s="398" t="str">
        <f>C5</f>
        <v>(C.D 15.01.2026, M.D 14.07.2026)</v>
      </c>
      <c r="D75" s="398" t="str">
        <f>D5</f>
        <v>(C.D 12.02.2026, M.D 11.08.2026)</v>
      </c>
      <c r="E75" s="417" t="s">
        <v>0</v>
      </c>
    </row>
    <row r="76" spans="1:8" x14ac:dyDescent="0.3">
      <c r="A76" s="12" t="s">
        <v>15</v>
      </c>
      <c r="B76" s="576">
        <v>7832109.5890410934</v>
      </c>
      <c r="C76" s="576">
        <v>7832109.5890410934</v>
      </c>
      <c r="D76" s="576">
        <v>6314301.3698630119</v>
      </c>
      <c r="E76" s="528">
        <f>+SUM(B76:D76)</f>
        <v>21978520.547945198</v>
      </c>
      <c r="F76" s="139"/>
    </row>
    <row r="77" spans="1:8" x14ac:dyDescent="0.3">
      <c r="A77" s="12" t="s">
        <v>16</v>
      </c>
      <c r="B77" s="13">
        <f>B72</f>
        <v>1785260.2739726021</v>
      </c>
      <c r="C77" s="13">
        <f>C72</f>
        <v>1785260.2739726021</v>
      </c>
      <c r="D77" s="13">
        <f>D72</f>
        <v>1812438.356164383</v>
      </c>
      <c r="E77" s="528">
        <f>+SUM(B77:D77)</f>
        <v>5382958.904109587</v>
      </c>
    </row>
    <row r="78" spans="1:8" x14ac:dyDescent="0.3">
      <c r="A78" s="12" t="s">
        <v>26</v>
      </c>
      <c r="B78" s="809"/>
      <c r="C78" s="809"/>
      <c r="D78" s="809"/>
      <c r="E78" s="528">
        <f>+SUM(B78:D78)</f>
        <v>0</v>
      </c>
    </row>
    <row r="79" spans="1:8" x14ac:dyDescent="0.3">
      <c r="A79" s="638" t="s">
        <v>14</v>
      </c>
      <c r="B79" s="13">
        <f>SUM(B76:B78)</f>
        <v>9617369.8630136959</v>
      </c>
      <c r="C79" s="13">
        <f>SUM(C76:C78)</f>
        <v>9617369.8630136959</v>
      </c>
      <c r="D79" s="13">
        <f>SUM(D76:D78)</f>
        <v>8126739.7260273946</v>
      </c>
      <c r="E79" s="418">
        <f>+SUM(B79:D79)</f>
        <v>27361479.452054787</v>
      </c>
    </row>
    <row r="80" spans="1:8" x14ac:dyDescent="0.3">
      <c r="A80" s="979"/>
      <c r="B80" s="979"/>
      <c r="C80" s="979"/>
      <c r="D80" s="979"/>
      <c r="E80" s="979"/>
      <c r="H80" s="325"/>
    </row>
    <row r="81" spans="1:8" ht="17.399999999999999" x14ac:dyDescent="0.3">
      <c r="A81" s="641" t="s">
        <v>30</v>
      </c>
      <c r="B81" s="44">
        <v>0</v>
      </c>
      <c r="C81" s="44">
        <v>0</v>
      </c>
      <c r="D81" s="44">
        <v>0</v>
      </c>
      <c r="E81" s="751">
        <f>SUM(B81:D81)</f>
        <v>0</v>
      </c>
      <c r="F81" s="707"/>
      <c r="G81" s="708"/>
      <c r="H81" s="325"/>
    </row>
    <row r="82" spans="1:8" x14ac:dyDescent="0.3">
      <c r="A82" s="979"/>
      <c r="B82" s="979"/>
      <c r="C82" s="979"/>
      <c r="D82" s="979"/>
      <c r="E82" s="979"/>
      <c r="H82" s="325"/>
    </row>
    <row r="83" spans="1:8" x14ac:dyDescent="0.3">
      <c r="A83" s="639" t="s">
        <v>4</v>
      </c>
      <c r="B83" s="44"/>
      <c r="C83" s="44"/>
      <c r="D83" s="44"/>
      <c r="E83" s="640">
        <f>SUM(B83:C83)</f>
        <v>0</v>
      </c>
      <c r="G83" s="34"/>
    </row>
    <row r="84" spans="1:8" x14ac:dyDescent="0.3">
      <c r="A84" s="940"/>
      <c r="B84" s="940"/>
      <c r="C84" s="940"/>
      <c r="D84" s="940"/>
      <c r="E84" s="940"/>
    </row>
    <row r="85" spans="1:8" x14ac:dyDescent="0.3">
      <c r="A85" s="28" t="s">
        <v>17</v>
      </c>
      <c r="B85" s="29">
        <f>B72+B83+B78</f>
        <v>1785260.2739726021</v>
      </c>
      <c r="C85" s="29">
        <f>C72+C83+C78</f>
        <v>1785260.2739726021</v>
      </c>
      <c r="D85" s="29">
        <f>D72+D83+D78</f>
        <v>1812438.356164383</v>
      </c>
      <c r="E85" s="529">
        <f>SUM(B85:D85)</f>
        <v>5382958.904109587</v>
      </c>
    </row>
    <row r="86" spans="1:8" s="331" customFormat="1" x14ac:dyDescent="0.3">
      <c r="A86" s="522"/>
      <c r="B86" s="496"/>
      <c r="C86" s="496"/>
      <c r="D86" s="496"/>
      <c r="E86" s="496"/>
    </row>
    <row r="87" spans="1:8" x14ac:dyDescent="0.3">
      <c r="A87" s="99" t="s">
        <v>31</v>
      </c>
      <c r="B87" s="98">
        <f>B79+B83-B81</f>
        <v>9617369.8630136959</v>
      </c>
      <c r="C87" s="98">
        <f>C79+C83-C81</f>
        <v>9617369.8630136959</v>
      </c>
      <c r="D87" s="98">
        <f>D79+D83-D81</f>
        <v>8126739.7260273946</v>
      </c>
      <c r="E87" s="530">
        <f>E79+E83-E81</f>
        <v>27361479.452054787</v>
      </c>
    </row>
    <row r="88" spans="1:8" x14ac:dyDescent="0.3">
      <c r="A88" s="399" t="s">
        <v>254</v>
      </c>
      <c r="B88" s="399">
        <v>30000830</v>
      </c>
      <c r="C88" s="399">
        <v>30000831</v>
      </c>
      <c r="D88" s="399">
        <v>30000866</v>
      </c>
      <c r="E88" s="399"/>
    </row>
    <row r="89" spans="1:8" x14ac:dyDescent="0.3">
      <c r="B89" s="139"/>
      <c r="C89" s="139"/>
      <c r="D89" s="139"/>
      <c r="E89" s="34"/>
    </row>
    <row r="91" spans="1:8" x14ac:dyDescent="0.3">
      <c r="A91" s="318" t="s">
        <v>265</v>
      </c>
      <c r="B91" s="399">
        <v>9200000070</v>
      </c>
      <c r="C91" s="399"/>
      <c r="D91" s="399"/>
    </row>
    <row r="92" spans="1:8" x14ac:dyDescent="0.3">
      <c r="A92" s="318" t="s">
        <v>266</v>
      </c>
      <c r="B92" s="399">
        <v>40000040</v>
      </c>
      <c r="C92" s="399"/>
      <c r="D92" s="399"/>
    </row>
  </sheetData>
  <mergeCells count="7">
    <mergeCell ref="A84:E84"/>
    <mergeCell ref="A4:E4"/>
    <mergeCell ref="A38:E38"/>
    <mergeCell ref="A73:E73"/>
    <mergeCell ref="A74:E74"/>
    <mergeCell ref="A80:E80"/>
    <mergeCell ref="A82:E82"/>
  </mergeCells>
  <printOptions horizontalCentered="1" verticalCentered="1"/>
  <pageMargins left="0.25" right="0.25" top="0.5" bottom="0.5" header="0.5" footer="0.5"/>
  <pageSetup scale="52" orientation="portrait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EAAC-24BA-4A58-B8FD-71BC42F4E7A0}">
  <sheetPr>
    <tabColor theme="0"/>
    <pageSetUpPr fitToPage="1"/>
  </sheetPr>
  <dimension ref="A1:N92"/>
  <sheetViews>
    <sheetView showGridLines="0" view="pageBreakPreview" topLeftCell="A71" zoomScaleNormal="95" zoomScaleSheetLayoutView="100" workbookViewId="0">
      <selection activeCell="B76" sqref="B76:H76"/>
    </sheetView>
  </sheetViews>
  <sheetFormatPr defaultColWidth="8.90625" defaultRowHeight="13.8" x14ac:dyDescent="0.3"/>
  <cols>
    <col min="1" max="1" width="14.81640625" style="3" customWidth="1"/>
    <col min="2" max="8" width="15.7265625" style="31" customWidth="1"/>
    <col min="9" max="9" width="13.6328125" style="3" customWidth="1"/>
    <col min="10" max="10" width="12.81640625" style="3" bestFit="1" customWidth="1"/>
    <col min="11" max="11" width="8.90625" style="3"/>
    <col min="12" max="12" width="3.1796875" style="3" bestFit="1" customWidth="1"/>
    <col min="13" max="13" width="8.6328125" style="3" bestFit="1" customWidth="1"/>
    <col min="14" max="16384" width="8.90625" style="3"/>
  </cols>
  <sheetData>
    <row r="1" spans="1:14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</row>
    <row r="2" spans="1:14" ht="18.600000000000001" thickBot="1" x14ac:dyDescent="0.4">
      <c r="A2" s="47" t="s">
        <v>154</v>
      </c>
      <c r="B2" s="72"/>
      <c r="C2" s="72"/>
      <c r="D2" s="72"/>
      <c r="E2" s="72"/>
      <c r="F2" s="72"/>
      <c r="G2" s="72"/>
      <c r="H2" s="72"/>
      <c r="I2" s="27">
        <f>'FINANCIAL COST SUMMARY'!K2</f>
        <v>46204</v>
      </c>
    </row>
    <row r="3" spans="1:14" x14ac:dyDescent="0.3">
      <c r="A3" s="942"/>
      <c r="B3" s="942"/>
      <c r="C3" s="942"/>
      <c r="D3" s="942"/>
      <c r="E3" s="942"/>
      <c r="F3" s="942"/>
      <c r="G3" s="942"/>
      <c r="H3" s="942"/>
      <c r="I3" s="942"/>
    </row>
    <row r="4" spans="1:14" x14ac:dyDescent="0.3">
      <c r="A4" s="943" t="s">
        <v>19</v>
      </c>
      <c r="B4" s="943"/>
      <c r="C4" s="943"/>
      <c r="D4" s="943"/>
      <c r="E4" s="943"/>
      <c r="F4" s="943"/>
      <c r="G4" s="943"/>
      <c r="H4" s="943"/>
      <c r="I4" s="943"/>
    </row>
    <row r="5" spans="1:14" s="75" customFormat="1" ht="47.25" customHeight="1" x14ac:dyDescent="0.25">
      <c r="A5" s="51" t="s">
        <v>2</v>
      </c>
      <c r="B5" s="394" t="s">
        <v>383</v>
      </c>
      <c r="C5" s="394" t="s">
        <v>385</v>
      </c>
      <c r="D5" s="394" t="s">
        <v>386</v>
      </c>
      <c r="E5" s="394" t="s">
        <v>387</v>
      </c>
      <c r="F5" s="394" t="s">
        <v>393</v>
      </c>
      <c r="G5" s="394" t="s">
        <v>419</v>
      </c>
      <c r="H5" s="394" t="s">
        <v>420</v>
      </c>
      <c r="I5" s="395" t="s">
        <v>0</v>
      </c>
      <c r="L5" s="82"/>
      <c r="N5" s="82"/>
    </row>
    <row r="6" spans="1:14" x14ac:dyDescent="0.3">
      <c r="A6" s="6">
        <v>46204</v>
      </c>
      <c r="B6" s="54">
        <f t="shared" ref="B6:B16" si="0">40147.2*280.9</f>
        <v>11277348.479999999</v>
      </c>
      <c r="C6" s="54">
        <f t="shared" ref="C6:C15" si="1">34214.4*280.75</f>
        <v>9605692.8000000007</v>
      </c>
      <c r="D6" s="54">
        <f>48720*280.45</f>
        <v>13663524</v>
      </c>
      <c r="E6" s="54">
        <f t="shared" ref="E6:E11" si="2">48720*280.5</f>
        <v>13665960</v>
      </c>
      <c r="F6" s="54">
        <f t="shared" ref="F6:F12" si="3">141680*280.25</f>
        <v>39705820</v>
      </c>
      <c r="G6" s="54">
        <f t="shared" ref="G6:G7" si="4">75600*280</f>
        <v>21168000</v>
      </c>
      <c r="H6" s="54">
        <f t="shared" ref="H6:H27" si="5">56280*279.75</f>
        <v>15744330</v>
      </c>
      <c r="I6" s="5">
        <f>SUM(B6:H6)</f>
        <v>124830675.28</v>
      </c>
      <c r="J6" s="31"/>
      <c r="K6" s="76">
        <v>46196</v>
      </c>
      <c r="L6" s="3">
        <v>180</v>
      </c>
      <c r="M6" s="76">
        <f>K6+L6</f>
        <v>46376</v>
      </c>
    </row>
    <row r="7" spans="1:14" x14ac:dyDescent="0.3">
      <c r="A7" s="6">
        <f>+A6+1</f>
        <v>46205</v>
      </c>
      <c r="B7" s="54">
        <f t="shared" si="0"/>
        <v>11277348.479999999</v>
      </c>
      <c r="C7" s="54">
        <f t="shared" si="1"/>
        <v>9605692.8000000007</v>
      </c>
      <c r="D7" s="54">
        <f t="shared" ref="D7:D36" si="6">48720*280.45</f>
        <v>13663524</v>
      </c>
      <c r="E7" s="54">
        <f t="shared" si="2"/>
        <v>13665960</v>
      </c>
      <c r="F7" s="54">
        <f t="shared" si="3"/>
        <v>39705820</v>
      </c>
      <c r="G7" s="54">
        <f t="shared" si="4"/>
        <v>21168000</v>
      </c>
      <c r="H7" s="54">
        <f t="shared" si="5"/>
        <v>15744330</v>
      </c>
      <c r="I7" s="5">
        <f t="shared" ref="I7:I34" si="7">SUM(B7:H7)</f>
        <v>124830675.28</v>
      </c>
    </row>
    <row r="8" spans="1:14" ht="15.6" x14ac:dyDescent="0.3">
      <c r="A8" s="6">
        <f t="shared" ref="A8:A36" si="8">+A7+1</f>
        <v>46206</v>
      </c>
      <c r="B8" s="54">
        <f t="shared" si="0"/>
        <v>11277348.479999999</v>
      </c>
      <c r="C8" s="54">
        <f t="shared" si="1"/>
        <v>9605692.8000000007</v>
      </c>
      <c r="D8" s="54">
        <f t="shared" si="6"/>
        <v>13663524</v>
      </c>
      <c r="E8" s="54">
        <f t="shared" si="2"/>
        <v>13665960</v>
      </c>
      <c r="F8" s="54">
        <f t="shared" si="3"/>
        <v>39705820</v>
      </c>
      <c r="G8" s="54">
        <f>75600*280</f>
        <v>21168000</v>
      </c>
      <c r="H8" s="54">
        <f t="shared" si="5"/>
        <v>15744330</v>
      </c>
      <c r="I8" s="5">
        <f t="shared" si="7"/>
        <v>124830675.28</v>
      </c>
      <c r="K8"/>
    </row>
    <row r="9" spans="1:14" ht="15.6" x14ac:dyDescent="0.3">
      <c r="A9" s="6">
        <f t="shared" si="8"/>
        <v>46207</v>
      </c>
      <c r="B9" s="54">
        <f t="shared" si="0"/>
        <v>11277348.479999999</v>
      </c>
      <c r="C9" s="54">
        <f t="shared" si="1"/>
        <v>9605692.8000000007</v>
      </c>
      <c r="D9" s="54">
        <f t="shared" si="6"/>
        <v>13663524</v>
      </c>
      <c r="E9" s="54">
        <f t="shared" si="2"/>
        <v>13665960</v>
      </c>
      <c r="F9" s="54">
        <f t="shared" si="3"/>
        <v>39705820</v>
      </c>
      <c r="G9" s="54">
        <f t="shared" ref="G9:G36" si="9">75600*280</f>
        <v>21168000</v>
      </c>
      <c r="H9" s="54">
        <f t="shared" si="5"/>
        <v>15744330</v>
      </c>
      <c r="I9" s="5">
        <f t="shared" si="7"/>
        <v>124830675.28</v>
      </c>
      <c r="K9"/>
    </row>
    <row r="10" spans="1:14" x14ac:dyDescent="0.3">
      <c r="A10" s="6">
        <f t="shared" si="8"/>
        <v>46208</v>
      </c>
      <c r="B10" s="54">
        <f t="shared" si="0"/>
        <v>11277348.479999999</v>
      </c>
      <c r="C10" s="54">
        <f t="shared" si="1"/>
        <v>9605692.8000000007</v>
      </c>
      <c r="D10" s="54">
        <f t="shared" si="6"/>
        <v>13663524</v>
      </c>
      <c r="E10" s="54">
        <f t="shared" si="2"/>
        <v>13665960</v>
      </c>
      <c r="F10" s="54">
        <f t="shared" si="3"/>
        <v>39705820</v>
      </c>
      <c r="G10" s="54">
        <f t="shared" si="9"/>
        <v>21168000</v>
      </c>
      <c r="H10" s="54">
        <f t="shared" si="5"/>
        <v>15744330</v>
      </c>
      <c r="I10" s="5">
        <f t="shared" si="7"/>
        <v>124830675.28</v>
      </c>
    </row>
    <row r="11" spans="1:14" x14ac:dyDescent="0.3">
      <c r="A11" s="6">
        <f t="shared" si="8"/>
        <v>46209</v>
      </c>
      <c r="B11" s="54">
        <f t="shared" si="0"/>
        <v>11277348.479999999</v>
      </c>
      <c r="C11" s="54">
        <f t="shared" si="1"/>
        <v>9605692.8000000007</v>
      </c>
      <c r="D11" s="54">
        <f t="shared" si="6"/>
        <v>13663524</v>
      </c>
      <c r="E11" s="54">
        <f t="shared" si="2"/>
        <v>13665960</v>
      </c>
      <c r="F11" s="54">
        <f t="shared" si="3"/>
        <v>39705820</v>
      </c>
      <c r="G11" s="54">
        <f t="shared" si="9"/>
        <v>21168000</v>
      </c>
      <c r="H11" s="54">
        <f t="shared" si="5"/>
        <v>15744330</v>
      </c>
      <c r="I11" s="5">
        <f t="shared" si="7"/>
        <v>124830675.28</v>
      </c>
    </row>
    <row r="12" spans="1:14" x14ac:dyDescent="0.3">
      <c r="A12" s="6">
        <f t="shared" si="8"/>
        <v>46210</v>
      </c>
      <c r="B12" s="54">
        <f t="shared" si="0"/>
        <v>11277348.479999999</v>
      </c>
      <c r="C12" s="54">
        <f t="shared" si="1"/>
        <v>9605692.8000000007</v>
      </c>
      <c r="D12" s="54">
        <f t="shared" si="6"/>
        <v>13663524</v>
      </c>
      <c r="E12" s="54">
        <f>48720*280.5</f>
        <v>13665960</v>
      </c>
      <c r="F12" s="54">
        <f t="shared" si="3"/>
        <v>39705820</v>
      </c>
      <c r="G12" s="54">
        <f t="shared" si="9"/>
        <v>21168000</v>
      </c>
      <c r="H12" s="54">
        <f t="shared" si="5"/>
        <v>15744330</v>
      </c>
      <c r="I12" s="5">
        <f t="shared" si="7"/>
        <v>124830675.28</v>
      </c>
    </row>
    <row r="13" spans="1:14" x14ac:dyDescent="0.3">
      <c r="A13" s="6">
        <f t="shared" si="8"/>
        <v>46211</v>
      </c>
      <c r="B13" s="54">
        <f t="shared" si="0"/>
        <v>11277348.479999999</v>
      </c>
      <c r="C13" s="54">
        <f t="shared" si="1"/>
        <v>9605692.8000000007</v>
      </c>
      <c r="D13" s="54">
        <f t="shared" si="6"/>
        <v>13663524</v>
      </c>
      <c r="E13" s="54">
        <f t="shared" ref="E13:E36" si="10">48720*280.5</f>
        <v>13665960</v>
      </c>
      <c r="F13" s="54">
        <f>141680*280.25</f>
        <v>39705820</v>
      </c>
      <c r="G13" s="54">
        <f t="shared" si="9"/>
        <v>21168000</v>
      </c>
      <c r="H13" s="54">
        <f t="shared" si="5"/>
        <v>15744330</v>
      </c>
      <c r="I13" s="5">
        <f t="shared" si="7"/>
        <v>124830675.28</v>
      </c>
    </row>
    <row r="14" spans="1:14" x14ac:dyDescent="0.3">
      <c r="A14" s="6">
        <f t="shared" si="8"/>
        <v>46212</v>
      </c>
      <c r="B14" s="54">
        <f t="shared" si="0"/>
        <v>11277348.479999999</v>
      </c>
      <c r="C14" s="54">
        <f t="shared" si="1"/>
        <v>9605692.8000000007</v>
      </c>
      <c r="D14" s="54">
        <f t="shared" si="6"/>
        <v>13663524</v>
      </c>
      <c r="E14" s="54">
        <f t="shared" si="10"/>
        <v>13665960</v>
      </c>
      <c r="F14" s="54">
        <f t="shared" ref="F14:F36" si="11">141680*280.25</f>
        <v>39705820</v>
      </c>
      <c r="G14" s="54">
        <f t="shared" si="9"/>
        <v>21168000</v>
      </c>
      <c r="H14" s="54">
        <f t="shared" si="5"/>
        <v>15744330</v>
      </c>
      <c r="I14" s="5">
        <f t="shared" si="7"/>
        <v>124830675.28</v>
      </c>
    </row>
    <row r="15" spans="1:14" x14ac:dyDescent="0.3">
      <c r="A15" s="6">
        <f t="shared" si="8"/>
        <v>46213</v>
      </c>
      <c r="B15" s="54">
        <f t="shared" si="0"/>
        <v>11277348.479999999</v>
      </c>
      <c r="C15" s="54">
        <f t="shared" si="1"/>
        <v>9605692.8000000007</v>
      </c>
      <c r="D15" s="54">
        <f t="shared" si="6"/>
        <v>13663524</v>
      </c>
      <c r="E15" s="54">
        <f t="shared" si="10"/>
        <v>13665960</v>
      </c>
      <c r="F15" s="54">
        <f t="shared" si="11"/>
        <v>39705820</v>
      </c>
      <c r="G15" s="54">
        <f t="shared" si="9"/>
        <v>21168000</v>
      </c>
      <c r="H15" s="54">
        <f t="shared" si="5"/>
        <v>15744330</v>
      </c>
      <c r="I15" s="5">
        <f t="shared" si="7"/>
        <v>124830675.28</v>
      </c>
    </row>
    <row r="16" spans="1:14" x14ac:dyDescent="0.3">
      <c r="A16" s="6">
        <f t="shared" si="8"/>
        <v>46214</v>
      </c>
      <c r="B16" s="54">
        <f t="shared" si="0"/>
        <v>11277348.479999999</v>
      </c>
      <c r="C16" s="54">
        <f>34214.4*280.75</f>
        <v>9605692.8000000007</v>
      </c>
      <c r="D16" s="54">
        <f t="shared" si="6"/>
        <v>13663524</v>
      </c>
      <c r="E16" s="54">
        <f t="shared" si="10"/>
        <v>13665960</v>
      </c>
      <c r="F16" s="54">
        <f t="shared" si="11"/>
        <v>39705820</v>
      </c>
      <c r="G16" s="54">
        <f t="shared" si="9"/>
        <v>21168000</v>
      </c>
      <c r="H16" s="54">
        <f t="shared" si="5"/>
        <v>15744330</v>
      </c>
      <c r="I16" s="5">
        <f t="shared" si="7"/>
        <v>124830675.28</v>
      </c>
    </row>
    <row r="17" spans="1:11" x14ac:dyDescent="0.3">
      <c r="A17" s="6">
        <f t="shared" si="8"/>
        <v>46215</v>
      </c>
      <c r="B17" s="54">
        <f>40147.2*280.9</f>
        <v>11277348.479999999</v>
      </c>
      <c r="C17" s="54">
        <f t="shared" ref="C17:C36" si="12">34214.4*280.75</f>
        <v>9605692.8000000007</v>
      </c>
      <c r="D17" s="54">
        <f t="shared" si="6"/>
        <v>13663524</v>
      </c>
      <c r="E17" s="54">
        <f t="shared" si="10"/>
        <v>13665960</v>
      </c>
      <c r="F17" s="54">
        <f t="shared" si="11"/>
        <v>39705820</v>
      </c>
      <c r="G17" s="54">
        <f t="shared" si="9"/>
        <v>21168000</v>
      </c>
      <c r="H17" s="54">
        <f t="shared" si="5"/>
        <v>15744330</v>
      </c>
      <c r="I17" s="5">
        <f t="shared" si="7"/>
        <v>124830675.28</v>
      </c>
    </row>
    <row r="18" spans="1:11" x14ac:dyDescent="0.3">
      <c r="A18" s="6">
        <f t="shared" si="8"/>
        <v>46216</v>
      </c>
      <c r="B18" s="54">
        <f t="shared" ref="B18:B36" si="13">40147.2*280.9</f>
        <v>11277348.479999999</v>
      </c>
      <c r="C18" s="54">
        <f t="shared" si="12"/>
        <v>9605692.8000000007</v>
      </c>
      <c r="D18" s="54">
        <f t="shared" si="6"/>
        <v>13663524</v>
      </c>
      <c r="E18" s="54">
        <f t="shared" si="10"/>
        <v>13665960</v>
      </c>
      <c r="F18" s="54">
        <f t="shared" si="11"/>
        <v>39705820</v>
      </c>
      <c r="G18" s="54">
        <f t="shared" si="9"/>
        <v>21168000</v>
      </c>
      <c r="H18" s="54">
        <f t="shared" si="5"/>
        <v>15744330</v>
      </c>
      <c r="I18" s="5">
        <f t="shared" si="7"/>
        <v>124830675.28</v>
      </c>
    </row>
    <row r="19" spans="1:11" x14ac:dyDescent="0.3">
      <c r="A19" s="6">
        <f t="shared" si="8"/>
        <v>46217</v>
      </c>
      <c r="B19" s="54">
        <f t="shared" si="13"/>
        <v>11277348.479999999</v>
      </c>
      <c r="C19" s="54">
        <f t="shared" si="12"/>
        <v>9605692.8000000007</v>
      </c>
      <c r="D19" s="54">
        <f t="shared" si="6"/>
        <v>13663524</v>
      </c>
      <c r="E19" s="54">
        <f t="shared" si="10"/>
        <v>13665960</v>
      </c>
      <c r="F19" s="54">
        <f t="shared" si="11"/>
        <v>39705820</v>
      </c>
      <c r="G19" s="54">
        <f t="shared" si="9"/>
        <v>21168000</v>
      </c>
      <c r="H19" s="54">
        <f t="shared" si="5"/>
        <v>15744330</v>
      </c>
      <c r="I19" s="5">
        <f t="shared" si="7"/>
        <v>124830675.28</v>
      </c>
    </row>
    <row r="20" spans="1:11" x14ac:dyDescent="0.3">
      <c r="A20" s="6">
        <f t="shared" si="8"/>
        <v>46218</v>
      </c>
      <c r="B20" s="54">
        <f t="shared" si="13"/>
        <v>11277348.479999999</v>
      </c>
      <c r="C20" s="54">
        <f t="shared" si="12"/>
        <v>9605692.8000000007</v>
      </c>
      <c r="D20" s="54">
        <f t="shared" si="6"/>
        <v>13663524</v>
      </c>
      <c r="E20" s="54">
        <f t="shared" si="10"/>
        <v>13665960</v>
      </c>
      <c r="F20" s="54">
        <f t="shared" si="11"/>
        <v>39705820</v>
      </c>
      <c r="G20" s="54">
        <f t="shared" si="9"/>
        <v>21168000</v>
      </c>
      <c r="H20" s="54">
        <f t="shared" si="5"/>
        <v>15744330</v>
      </c>
      <c r="I20" s="5">
        <f t="shared" si="7"/>
        <v>124830675.28</v>
      </c>
    </row>
    <row r="21" spans="1:11" x14ac:dyDescent="0.3">
      <c r="A21" s="6">
        <f t="shared" si="8"/>
        <v>46219</v>
      </c>
      <c r="B21" s="54">
        <f t="shared" si="13"/>
        <v>11277348.479999999</v>
      </c>
      <c r="C21" s="54">
        <f t="shared" si="12"/>
        <v>9605692.8000000007</v>
      </c>
      <c r="D21" s="54">
        <f t="shared" si="6"/>
        <v>13663524</v>
      </c>
      <c r="E21" s="54">
        <f t="shared" si="10"/>
        <v>13665960</v>
      </c>
      <c r="F21" s="54">
        <f t="shared" si="11"/>
        <v>39705820</v>
      </c>
      <c r="G21" s="54">
        <f t="shared" si="9"/>
        <v>21168000</v>
      </c>
      <c r="H21" s="54">
        <f t="shared" si="5"/>
        <v>15744330</v>
      </c>
      <c r="I21" s="5">
        <f t="shared" si="7"/>
        <v>124830675.28</v>
      </c>
    </row>
    <row r="22" spans="1:11" x14ac:dyDescent="0.3">
      <c r="A22" s="6">
        <f t="shared" si="8"/>
        <v>46220</v>
      </c>
      <c r="B22" s="54">
        <f t="shared" si="13"/>
        <v>11277348.479999999</v>
      </c>
      <c r="C22" s="54">
        <f t="shared" si="12"/>
        <v>9605692.8000000007</v>
      </c>
      <c r="D22" s="54">
        <f t="shared" si="6"/>
        <v>13663524</v>
      </c>
      <c r="E22" s="54">
        <f t="shared" si="10"/>
        <v>13665960</v>
      </c>
      <c r="F22" s="54">
        <f t="shared" si="11"/>
        <v>39705820</v>
      </c>
      <c r="G22" s="54">
        <f t="shared" si="9"/>
        <v>21168000</v>
      </c>
      <c r="H22" s="54">
        <f t="shared" si="5"/>
        <v>15744330</v>
      </c>
      <c r="I22" s="5">
        <f t="shared" si="7"/>
        <v>124830675.28</v>
      </c>
    </row>
    <row r="23" spans="1:11" x14ac:dyDescent="0.3">
      <c r="A23" s="6">
        <f t="shared" si="8"/>
        <v>46221</v>
      </c>
      <c r="B23" s="54">
        <f t="shared" si="13"/>
        <v>11277348.479999999</v>
      </c>
      <c r="C23" s="54">
        <f t="shared" si="12"/>
        <v>9605692.8000000007</v>
      </c>
      <c r="D23" s="54">
        <f t="shared" si="6"/>
        <v>13663524</v>
      </c>
      <c r="E23" s="54">
        <f t="shared" si="10"/>
        <v>13665960</v>
      </c>
      <c r="F23" s="54">
        <f t="shared" si="11"/>
        <v>39705820</v>
      </c>
      <c r="G23" s="54">
        <f t="shared" si="9"/>
        <v>21168000</v>
      </c>
      <c r="H23" s="54">
        <f t="shared" si="5"/>
        <v>15744330</v>
      </c>
      <c r="I23" s="5">
        <f t="shared" si="7"/>
        <v>124830675.28</v>
      </c>
    </row>
    <row r="24" spans="1:11" x14ac:dyDescent="0.3">
      <c r="A24" s="6">
        <f t="shared" si="8"/>
        <v>46222</v>
      </c>
      <c r="B24" s="54">
        <f t="shared" si="13"/>
        <v>11277348.479999999</v>
      </c>
      <c r="C24" s="54">
        <f t="shared" si="12"/>
        <v>9605692.8000000007</v>
      </c>
      <c r="D24" s="54">
        <f t="shared" si="6"/>
        <v>13663524</v>
      </c>
      <c r="E24" s="54">
        <f t="shared" si="10"/>
        <v>13665960</v>
      </c>
      <c r="F24" s="54">
        <f t="shared" si="11"/>
        <v>39705820</v>
      </c>
      <c r="G24" s="54">
        <f t="shared" si="9"/>
        <v>21168000</v>
      </c>
      <c r="H24" s="54">
        <f t="shared" si="5"/>
        <v>15744330</v>
      </c>
      <c r="I24" s="5">
        <f t="shared" si="7"/>
        <v>124830675.28</v>
      </c>
    </row>
    <row r="25" spans="1:11" x14ac:dyDescent="0.3">
      <c r="A25" s="6">
        <f t="shared" si="8"/>
        <v>46223</v>
      </c>
      <c r="B25" s="54">
        <f t="shared" si="13"/>
        <v>11277348.479999999</v>
      </c>
      <c r="C25" s="54">
        <f t="shared" si="12"/>
        <v>9605692.8000000007</v>
      </c>
      <c r="D25" s="54">
        <f t="shared" si="6"/>
        <v>13663524</v>
      </c>
      <c r="E25" s="54">
        <f t="shared" si="10"/>
        <v>13665960</v>
      </c>
      <c r="F25" s="54">
        <f t="shared" si="11"/>
        <v>39705820</v>
      </c>
      <c r="G25" s="54">
        <f t="shared" si="9"/>
        <v>21168000</v>
      </c>
      <c r="H25" s="54">
        <f t="shared" si="5"/>
        <v>15744330</v>
      </c>
      <c r="I25" s="5">
        <f t="shared" si="7"/>
        <v>124830675.28</v>
      </c>
    </row>
    <row r="26" spans="1:11" x14ac:dyDescent="0.3">
      <c r="A26" s="6">
        <f t="shared" si="8"/>
        <v>46224</v>
      </c>
      <c r="B26" s="54">
        <f t="shared" si="13"/>
        <v>11277348.479999999</v>
      </c>
      <c r="C26" s="54">
        <f t="shared" si="12"/>
        <v>9605692.8000000007</v>
      </c>
      <c r="D26" s="54">
        <f t="shared" si="6"/>
        <v>13663524</v>
      </c>
      <c r="E26" s="54">
        <f t="shared" si="10"/>
        <v>13665960</v>
      </c>
      <c r="F26" s="54">
        <f t="shared" si="11"/>
        <v>39705820</v>
      </c>
      <c r="G26" s="54">
        <f t="shared" si="9"/>
        <v>21168000</v>
      </c>
      <c r="H26" s="54">
        <f t="shared" si="5"/>
        <v>15744330</v>
      </c>
      <c r="I26" s="5">
        <f t="shared" si="7"/>
        <v>124830675.28</v>
      </c>
    </row>
    <row r="27" spans="1:11" x14ac:dyDescent="0.3">
      <c r="A27" s="6">
        <f t="shared" si="8"/>
        <v>46225</v>
      </c>
      <c r="B27" s="54">
        <f t="shared" si="13"/>
        <v>11277348.479999999</v>
      </c>
      <c r="C27" s="54">
        <f t="shared" si="12"/>
        <v>9605692.8000000007</v>
      </c>
      <c r="D27" s="54">
        <f t="shared" si="6"/>
        <v>13663524</v>
      </c>
      <c r="E27" s="54">
        <f t="shared" si="10"/>
        <v>13665960</v>
      </c>
      <c r="F27" s="54">
        <f t="shared" si="11"/>
        <v>39705820</v>
      </c>
      <c r="G27" s="54">
        <f t="shared" si="9"/>
        <v>21168000</v>
      </c>
      <c r="H27" s="54">
        <f t="shared" si="5"/>
        <v>15744330</v>
      </c>
      <c r="I27" s="5">
        <f t="shared" si="7"/>
        <v>124830675.28</v>
      </c>
    </row>
    <row r="28" spans="1:11" x14ac:dyDescent="0.3">
      <c r="A28" s="6">
        <f t="shared" si="8"/>
        <v>46226</v>
      </c>
      <c r="B28" s="54">
        <f t="shared" si="13"/>
        <v>11277348.479999999</v>
      </c>
      <c r="C28" s="54">
        <f t="shared" si="12"/>
        <v>9605692.8000000007</v>
      </c>
      <c r="D28" s="54">
        <f t="shared" si="6"/>
        <v>13663524</v>
      </c>
      <c r="E28" s="54">
        <f t="shared" si="10"/>
        <v>13665960</v>
      </c>
      <c r="F28" s="54">
        <f t="shared" si="11"/>
        <v>39705820</v>
      </c>
      <c r="G28" s="54">
        <f t="shared" si="9"/>
        <v>21168000</v>
      </c>
      <c r="H28" s="54">
        <f>56280*279.75</f>
        <v>15744330</v>
      </c>
      <c r="I28" s="5">
        <f t="shared" si="7"/>
        <v>124830675.28</v>
      </c>
    </row>
    <row r="29" spans="1:11" x14ac:dyDescent="0.3">
      <c r="A29" s="6">
        <f t="shared" si="8"/>
        <v>46227</v>
      </c>
      <c r="B29" s="54">
        <f t="shared" si="13"/>
        <v>11277348.479999999</v>
      </c>
      <c r="C29" s="54">
        <f t="shared" si="12"/>
        <v>9605692.8000000007</v>
      </c>
      <c r="D29" s="54">
        <f t="shared" si="6"/>
        <v>13663524</v>
      </c>
      <c r="E29" s="54">
        <f t="shared" si="10"/>
        <v>13665960</v>
      </c>
      <c r="F29" s="54">
        <f t="shared" si="11"/>
        <v>39705820</v>
      </c>
      <c r="G29" s="54">
        <f t="shared" si="9"/>
        <v>21168000</v>
      </c>
      <c r="H29" s="54">
        <f t="shared" ref="H29:H36" si="14">56280*279.75</f>
        <v>15744330</v>
      </c>
      <c r="I29" s="5">
        <f t="shared" si="7"/>
        <v>124830675.28</v>
      </c>
    </row>
    <row r="30" spans="1:11" x14ac:dyDescent="0.3">
      <c r="A30" s="6">
        <f t="shared" si="8"/>
        <v>46228</v>
      </c>
      <c r="B30" s="54">
        <f t="shared" si="13"/>
        <v>11277348.479999999</v>
      </c>
      <c r="C30" s="54">
        <f t="shared" si="12"/>
        <v>9605692.8000000007</v>
      </c>
      <c r="D30" s="54">
        <f t="shared" si="6"/>
        <v>13663524</v>
      </c>
      <c r="E30" s="54">
        <f t="shared" si="10"/>
        <v>13665960</v>
      </c>
      <c r="F30" s="54">
        <f t="shared" si="11"/>
        <v>39705820</v>
      </c>
      <c r="G30" s="54">
        <f t="shared" si="9"/>
        <v>21168000</v>
      </c>
      <c r="H30" s="54">
        <f t="shared" si="14"/>
        <v>15744330</v>
      </c>
      <c r="I30" s="5">
        <f t="shared" si="7"/>
        <v>124830675.28</v>
      </c>
    </row>
    <row r="31" spans="1:11" x14ac:dyDescent="0.3">
      <c r="A31" s="6">
        <f t="shared" si="8"/>
        <v>46229</v>
      </c>
      <c r="B31" s="54">
        <f t="shared" si="13"/>
        <v>11277348.479999999</v>
      </c>
      <c r="C31" s="54">
        <f t="shared" si="12"/>
        <v>9605692.8000000007</v>
      </c>
      <c r="D31" s="54">
        <f t="shared" si="6"/>
        <v>13663524</v>
      </c>
      <c r="E31" s="54">
        <f t="shared" si="10"/>
        <v>13665960</v>
      </c>
      <c r="F31" s="54">
        <f t="shared" si="11"/>
        <v>39705820</v>
      </c>
      <c r="G31" s="54">
        <f t="shared" si="9"/>
        <v>21168000</v>
      </c>
      <c r="H31" s="54">
        <f t="shared" si="14"/>
        <v>15744330</v>
      </c>
      <c r="I31" s="5">
        <f t="shared" si="7"/>
        <v>124830675.28</v>
      </c>
    </row>
    <row r="32" spans="1:11" x14ac:dyDescent="0.3">
      <c r="A32" s="6">
        <f t="shared" si="8"/>
        <v>46230</v>
      </c>
      <c r="B32" s="54">
        <f t="shared" si="13"/>
        <v>11277348.479999999</v>
      </c>
      <c r="C32" s="54">
        <f t="shared" si="12"/>
        <v>9605692.8000000007</v>
      </c>
      <c r="D32" s="54">
        <f t="shared" si="6"/>
        <v>13663524</v>
      </c>
      <c r="E32" s="54">
        <f t="shared" si="10"/>
        <v>13665960</v>
      </c>
      <c r="F32" s="54">
        <f t="shared" si="11"/>
        <v>39705820</v>
      </c>
      <c r="G32" s="54">
        <f t="shared" si="9"/>
        <v>21168000</v>
      </c>
      <c r="H32" s="54">
        <f t="shared" si="14"/>
        <v>15744330</v>
      </c>
      <c r="I32" s="5">
        <f t="shared" si="7"/>
        <v>124830675.28</v>
      </c>
      <c r="K32" s="325"/>
    </row>
    <row r="33" spans="1:11" x14ac:dyDescent="0.3">
      <c r="A33" s="6">
        <f t="shared" si="8"/>
        <v>46231</v>
      </c>
      <c r="B33" s="54">
        <f t="shared" si="13"/>
        <v>11277348.479999999</v>
      </c>
      <c r="C33" s="54">
        <f t="shared" si="12"/>
        <v>9605692.8000000007</v>
      </c>
      <c r="D33" s="54">
        <f t="shared" si="6"/>
        <v>13663524</v>
      </c>
      <c r="E33" s="54">
        <f t="shared" si="10"/>
        <v>13665960</v>
      </c>
      <c r="F33" s="54">
        <f t="shared" si="11"/>
        <v>39705820</v>
      </c>
      <c r="G33" s="54">
        <f t="shared" si="9"/>
        <v>21168000</v>
      </c>
      <c r="H33" s="54">
        <f t="shared" si="14"/>
        <v>15744330</v>
      </c>
      <c r="I33" s="5">
        <f t="shared" si="7"/>
        <v>124830675.28</v>
      </c>
      <c r="K33" s="325"/>
    </row>
    <row r="34" spans="1:11" x14ac:dyDescent="0.3">
      <c r="A34" s="6">
        <f t="shared" si="8"/>
        <v>46232</v>
      </c>
      <c r="B34" s="54">
        <f t="shared" si="13"/>
        <v>11277348.479999999</v>
      </c>
      <c r="C34" s="54">
        <f t="shared" si="12"/>
        <v>9605692.8000000007</v>
      </c>
      <c r="D34" s="54">
        <f t="shared" si="6"/>
        <v>13663524</v>
      </c>
      <c r="E34" s="54">
        <f t="shared" si="10"/>
        <v>13665960</v>
      </c>
      <c r="F34" s="54">
        <f t="shared" si="11"/>
        <v>39705820</v>
      </c>
      <c r="G34" s="54">
        <f t="shared" si="9"/>
        <v>21168000</v>
      </c>
      <c r="H34" s="54">
        <f t="shared" si="14"/>
        <v>15744330</v>
      </c>
      <c r="I34" s="5">
        <f t="shared" si="7"/>
        <v>124830675.28</v>
      </c>
      <c r="K34" s="325"/>
    </row>
    <row r="35" spans="1:11" x14ac:dyDescent="0.3">
      <c r="A35" s="6">
        <f t="shared" si="8"/>
        <v>46233</v>
      </c>
      <c r="B35" s="54">
        <f t="shared" si="13"/>
        <v>11277348.479999999</v>
      </c>
      <c r="C35" s="54">
        <f t="shared" si="12"/>
        <v>9605692.8000000007</v>
      </c>
      <c r="D35" s="54">
        <f t="shared" si="6"/>
        <v>13663524</v>
      </c>
      <c r="E35" s="54">
        <f t="shared" si="10"/>
        <v>13665960</v>
      </c>
      <c r="F35" s="54">
        <f t="shared" si="11"/>
        <v>39705820</v>
      </c>
      <c r="G35" s="54">
        <f t="shared" si="9"/>
        <v>21168000</v>
      </c>
      <c r="H35" s="54">
        <f t="shared" si="14"/>
        <v>15744330</v>
      </c>
      <c r="I35" s="5">
        <f t="shared" ref="I35" si="15">SUM(B35:H35)</f>
        <v>124830675.28</v>
      </c>
      <c r="K35" s="325"/>
    </row>
    <row r="36" spans="1:11" x14ac:dyDescent="0.3">
      <c r="A36" s="6">
        <f t="shared" si="8"/>
        <v>46234</v>
      </c>
      <c r="B36" s="54">
        <f t="shared" si="13"/>
        <v>11277348.479999999</v>
      </c>
      <c r="C36" s="54">
        <f t="shared" si="12"/>
        <v>9605692.8000000007</v>
      </c>
      <c r="D36" s="54">
        <f t="shared" si="6"/>
        <v>13663524</v>
      </c>
      <c r="E36" s="54">
        <f t="shared" si="10"/>
        <v>13665960</v>
      </c>
      <c r="F36" s="54">
        <f t="shared" si="11"/>
        <v>39705820</v>
      </c>
      <c r="G36" s="54">
        <f t="shared" si="9"/>
        <v>21168000</v>
      </c>
      <c r="H36" s="54">
        <f t="shared" si="14"/>
        <v>15744330</v>
      </c>
      <c r="I36" s="5">
        <f t="shared" ref="I36" si="16">SUM(B36:H36)</f>
        <v>124830675.28</v>
      </c>
      <c r="K36" s="325"/>
    </row>
    <row r="37" spans="1:11" x14ac:dyDescent="0.3">
      <c r="A37" s="124"/>
      <c r="B37" s="247"/>
      <c r="C37" s="247"/>
      <c r="D37" s="247"/>
      <c r="E37" s="247"/>
      <c r="F37" s="247"/>
      <c r="G37" s="247"/>
      <c r="H37" s="247"/>
      <c r="I37" s="492"/>
      <c r="K37" s="325"/>
    </row>
    <row r="38" spans="1:11" x14ac:dyDescent="0.3">
      <c r="A38" s="943" t="s">
        <v>56</v>
      </c>
      <c r="B38" s="943"/>
      <c r="C38" s="943"/>
      <c r="D38" s="943"/>
      <c r="E38" s="943"/>
      <c r="F38" s="943"/>
      <c r="G38" s="943"/>
      <c r="H38" s="943"/>
      <c r="I38" s="943"/>
      <c r="J38" s="325"/>
      <c r="K38" s="325"/>
    </row>
    <row r="39" spans="1:11" s="75" customFormat="1" ht="41.4" x14ac:dyDescent="0.25">
      <c r="A39" s="51" t="s">
        <v>2</v>
      </c>
      <c r="B39" s="79" t="str">
        <f t="shared" ref="B39:G39" si="17">B5</f>
        <v>FILFTR00018526PK
(C.D 12.01.2026, M.D 11.07.2026)</v>
      </c>
      <c r="C39" s="79" t="str">
        <f t="shared" si="17"/>
        <v>FILFTR00153326PK
(C.D 11.03.2026, M.D 07.09.2026)</v>
      </c>
      <c r="D39" s="79" t="str">
        <f t="shared" si="17"/>
        <v>FILFTR00190526PK
(C.D 30.03.2026, M.D 26.09.2026)</v>
      </c>
      <c r="E39" s="79" t="str">
        <f t="shared" si="17"/>
        <v>FILFTR00206426PK
(C.D 07.04.2026, M.D 04.10.2026)</v>
      </c>
      <c r="F39" s="79" t="str">
        <f t="shared" si="17"/>
        <v>FILFTR00272426PK
(C.D 08.05.2026, M.D 04.11.2026)</v>
      </c>
      <c r="G39" s="79" t="str">
        <f t="shared" si="17"/>
        <v>FILFTR00329126PK
(C.D 03.06.2026, M.D 30.11.2026)</v>
      </c>
      <c r="H39" s="79" t="str">
        <f>H5</f>
        <v>FILFTR00362026PK
(C.D 23.06.2026, M.D 20.12.2026)</v>
      </c>
      <c r="I39" s="79" t="s">
        <v>0</v>
      </c>
      <c r="K39" s="326"/>
    </row>
    <row r="40" spans="1:11" s="91" customFormat="1" ht="27.6" x14ac:dyDescent="0.25">
      <c r="A40" s="375" t="s">
        <v>226</v>
      </c>
      <c r="B40" s="358">
        <f>0.5%+10.39%</f>
        <v>0.10890000000000001</v>
      </c>
      <c r="C40" s="358">
        <f>0.5%+10.89%</f>
        <v>0.11390000000000002</v>
      </c>
      <c r="D40" s="358">
        <f>0.5%+11.53%</f>
        <v>0.1203</v>
      </c>
      <c r="E40" s="358">
        <f>0.5%+11.7%</f>
        <v>0.122</v>
      </c>
      <c r="F40" s="358">
        <f>0.5%+11.98%</f>
        <v>0.12480000000000001</v>
      </c>
      <c r="G40" s="358">
        <f>0.5%+12.48%</f>
        <v>0.1298</v>
      </c>
      <c r="H40" s="358">
        <f>0.5%+12%</f>
        <v>0.125</v>
      </c>
      <c r="I40" s="90"/>
    </row>
    <row r="41" spans="1:11" x14ac:dyDescent="0.3">
      <c r="A41" s="6">
        <f t="shared" ref="A41:A70" si="18">A6</f>
        <v>46204</v>
      </c>
      <c r="B41" s="5">
        <f t="shared" ref="B41:H50" si="19">IF(B6&lt;0,0,B6*B$40/365)</f>
        <v>3364.6664369095888</v>
      </c>
      <c r="C41" s="5">
        <f t="shared" si="19"/>
        <v>2997.5024929315073</v>
      </c>
      <c r="D41" s="5">
        <f t="shared" si="19"/>
        <v>4503.3477731506855</v>
      </c>
      <c r="E41" s="5">
        <f t="shared" si="19"/>
        <v>4567.8003287671227</v>
      </c>
      <c r="F41" s="5">
        <f t="shared" si="19"/>
        <v>13576.126947945206</v>
      </c>
      <c r="G41" s="5">
        <f t="shared" si="19"/>
        <v>7527.6887671232871</v>
      </c>
      <c r="H41" s="5">
        <f t="shared" si="19"/>
        <v>5391.8938356164381</v>
      </c>
      <c r="I41" s="5">
        <f>SUM(B41:H41)</f>
        <v>41929.026582443832</v>
      </c>
    </row>
    <row r="42" spans="1:11" x14ac:dyDescent="0.3">
      <c r="A42" s="6">
        <f t="shared" si="18"/>
        <v>46205</v>
      </c>
      <c r="B42" s="5">
        <f t="shared" si="19"/>
        <v>3364.6664369095888</v>
      </c>
      <c r="C42" s="5">
        <f t="shared" si="19"/>
        <v>2997.5024929315073</v>
      </c>
      <c r="D42" s="5">
        <f t="shared" si="19"/>
        <v>4503.3477731506855</v>
      </c>
      <c r="E42" s="5">
        <f t="shared" si="19"/>
        <v>4567.8003287671227</v>
      </c>
      <c r="F42" s="5">
        <f t="shared" si="19"/>
        <v>13576.126947945206</v>
      </c>
      <c r="G42" s="5">
        <f t="shared" si="19"/>
        <v>7527.6887671232871</v>
      </c>
      <c r="H42" s="5">
        <f t="shared" si="19"/>
        <v>5391.8938356164381</v>
      </c>
      <c r="I42" s="5">
        <f t="shared" ref="I42:I72" si="20">SUM(B42:H42)</f>
        <v>41929.026582443832</v>
      </c>
    </row>
    <row r="43" spans="1:11" x14ac:dyDescent="0.3">
      <c r="A43" s="6">
        <f t="shared" si="18"/>
        <v>46206</v>
      </c>
      <c r="B43" s="5">
        <f t="shared" si="19"/>
        <v>3364.6664369095888</v>
      </c>
      <c r="C43" s="5">
        <f t="shared" si="19"/>
        <v>2997.5024929315073</v>
      </c>
      <c r="D43" s="5">
        <f t="shared" si="19"/>
        <v>4503.3477731506855</v>
      </c>
      <c r="E43" s="5">
        <f t="shared" si="19"/>
        <v>4567.8003287671227</v>
      </c>
      <c r="F43" s="5">
        <f t="shared" si="19"/>
        <v>13576.126947945206</v>
      </c>
      <c r="G43" s="5">
        <f t="shared" si="19"/>
        <v>7527.6887671232871</v>
      </c>
      <c r="H43" s="5">
        <f t="shared" si="19"/>
        <v>5391.8938356164381</v>
      </c>
      <c r="I43" s="5">
        <f t="shared" si="20"/>
        <v>41929.026582443832</v>
      </c>
    </row>
    <row r="44" spans="1:11" x14ac:dyDescent="0.3">
      <c r="A44" s="6">
        <f t="shared" si="18"/>
        <v>46207</v>
      </c>
      <c r="B44" s="5">
        <f t="shared" si="19"/>
        <v>3364.6664369095888</v>
      </c>
      <c r="C44" s="5">
        <f t="shared" si="19"/>
        <v>2997.5024929315073</v>
      </c>
      <c r="D44" s="5">
        <f t="shared" si="19"/>
        <v>4503.3477731506855</v>
      </c>
      <c r="E44" s="5">
        <f t="shared" si="19"/>
        <v>4567.8003287671227</v>
      </c>
      <c r="F44" s="5">
        <f t="shared" si="19"/>
        <v>13576.126947945206</v>
      </c>
      <c r="G44" s="5">
        <f t="shared" si="19"/>
        <v>7527.6887671232871</v>
      </c>
      <c r="H44" s="5">
        <f t="shared" si="19"/>
        <v>5391.8938356164381</v>
      </c>
      <c r="I44" s="5">
        <f t="shared" si="20"/>
        <v>41929.026582443832</v>
      </c>
      <c r="K44" s="34"/>
    </row>
    <row r="45" spans="1:11" x14ac:dyDescent="0.3">
      <c r="A45" s="6">
        <f t="shared" si="18"/>
        <v>46208</v>
      </c>
      <c r="B45" s="5">
        <f t="shared" si="19"/>
        <v>3364.6664369095888</v>
      </c>
      <c r="C45" s="5">
        <f t="shared" si="19"/>
        <v>2997.5024929315073</v>
      </c>
      <c r="D45" s="5">
        <f t="shared" si="19"/>
        <v>4503.3477731506855</v>
      </c>
      <c r="E45" s="5">
        <f t="shared" si="19"/>
        <v>4567.8003287671227</v>
      </c>
      <c r="F45" s="5">
        <f t="shared" si="19"/>
        <v>13576.126947945206</v>
      </c>
      <c r="G45" s="5">
        <f t="shared" si="19"/>
        <v>7527.6887671232871</v>
      </c>
      <c r="H45" s="5">
        <f t="shared" si="19"/>
        <v>5391.8938356164381</v>
      </c>
      <c r="I45" s="5">
        <f t="shared" si="20"/>
        <v>41929.026582443832</v>
      </c>
    </row>
    <row r="46" spans="1:11" x14ac:dyDescent="0.3">
      <c r="A46" s="6">
        <f t="shared" si="18"/>
        <v>46209</v>
      </c>
      <c r="B46" s="5">
        <f t="shared" si="19"/>
        <v>3364.6664369095888</v>
      </c>
      <c r="C46" s="5">
        <f t="shared" si="19"/>
        <v>2997.5024929315073</v>
      </c>
      <c r="D46" s="5">
        <f t="shared" si="19"/>
        <v>4503.3477731506855</v>
      </c>
      <c r="E46" s="5">
        <f t="shared" si="19"/>
        <v>4567.8003287671227</v>
      </c>
      <c r="F46" s="5">
        <f t="shared" si="19"/>
        <v>13576.126947945206</v>
      </c>
      <c r="G46" s="5">
        <f t="shared" si="19"/>
        <v>7527.6887671232871</v>
      </c>
      <c r="H46" s="5">
        <f t="shared" si="19"/>
        <v>5391.8938356164381</v>
      </c>
      <c r="I46" s="5">
        <f t="shared" si="20"/>
        <v>41929.026582443832</v>
      </c>
    </row>
    <row r="47" spans="1:11" x14ac:dyDescent="0.3">
      <c r="A47" s="6">
        <f t="shared" si="18"/>
        <v>46210</v>
      </c>
      <c r="B47" s="5">
        <f t="shared" si="19"/>
        <v>3364.6664369095888</v>
      </c>
      <c r="C47" s="5">
        <f t="shared" si="19"/>
        <v>2997.5024929315073</v>
      </c>
      <c r="D47" s="5">
        <f t="shared" si="19"/>
        <v>4503.3477731506855</v>
      </c>
      <c r="E47" s="5">
        <f t="shared" si="19"/>
        <v>4567.8003287671227</v>
      </c>
      <c r="F47" s="5">
        <f t="shared" si="19"/>
        <v>13576.126947945206</v>
      </c>
      <c r="G47" s="5">
        <f t="shared" si="19"/>
        <v>7527.6887671232871</v>
      </c>
      <c r="H47" s="5">
        <f t="shared" si="19"/>
        <v>5391.8938356164381</v>
      </c>
      <c r="I47" s="5">
        <f t="shared" si="20"/>
        <v>41929.026582443832</v>
      </c>
    </row>
    <row r="48" spans="1:11" x14ac:dyDescent="0.3">
      <c r="A48" s="6">
        <f t="shared" si="18"/>
        <v>46211</v>
      </c>
      <c r="B48" s="5">
        <f t="shared" si="19"/>
        <v>3364.6664369095888</v>
      </c>
      <c r="C48" s="5">
        <f t="shared" si="19"/>
        <v>2997.5024929315073</v>
      </c>
      <c r="D48" s="5">
        <f t="shared" si="19"/>
        <v>4503.3477731506855</v>
      </c>
      <c r="E48" s="5">
        <f t="shared" si="19"/>
        <v>4567.8003287671227</v>
      </c>
      <c r="F48" s="5">
        <f t="shared" si="19"/>
        <v>13576.126947945206</v>
      </c>
      <c r="G48" s="5">
        <f t="shared" si="19"/>
        <v>7527.6887671232871</v>
      </c>
      <c r="H48" s="5">
        <f t="shared" si="19"/>
        <v>5391.8938356164381</v>
      </c>
      <c r="I48" s="5">
        <f t="shared" si="20"/>
        <v>41929.026582443832</v>
      </c>
    </row>
    <row r="49" spans="1:11" x14ac:dyDescent="0.3">
      <c r="A49" s="6">
        <f t="shared" si="18"/>
        <v>46212</v>
      </c>
      <c r="B49" s="5">
        <f t="shared" si="19"/>
        <v>3364.6664369095888</v>
      </c>
      <c r="C49" s="5">
        <f t="shared" si="19"/>
        <v>2997.5024929315073</v>
      </c>
      <c r="D49" s="5">
        <f t="shared" si="19"/>
        <v>4503.3477731506855</v>
      </c>
      <c r="E49" s="5">
        <f t="shared" si="19"/>
        <v>4567.8003287671227</v>
      </c>
      <c r="F49" s="5">
        <f t="shared" si="19"/>
        <v>13576.126947945206</v>
      </c>
      <c r="G49" s="5">
        <f t="shared" si="19"/>
        <v>7527.6887671232871</v>
      </c>
      <c r="H49" s="5">
        <f t="shared" si="19"/>
        <v>5391.8938356164381</v>
      </c>
      <c r="I49" s="5">
        <f t="shared" si="20"/>
        <v>41929.026582443832</v>
      </c>
    </row>
    <row r="50" spans="1:11" x14ac:dyDescent="0.3">
      <c r="A50" s="6">
        <f t="shared" si="18"/>
        <v>46213</v>
      </c>
      <c r="B50" s="5">
        <f t="shared" si="19"/>
        <v>3364.6664369095888</v>
      </c>
      <c r="C50" s="5">
        <f t="shared" si="19"/>
        <v>2997.5024929315073</v>
      </c>
      <c r="D50" s="5">
        <f t="shared" si="19"/>
        <v>4503.3477731506855</v>
      </c>
      <c r="E50" s="5">
        <f t="shared" si="19"/>
        <v>4567.8003287671227</v>
      </c>
      <c r="F50" s="5">
        <f t="shared" si="19"/>
        <v>13576.126947945206</v>
      </c>
      <c r="G50" s="5">
        <f t="shared" si="19"/>
        <v>7527.6887671232871</v>
      </c>
      <c r="H50" s="5">
        <f t="shared" si="19"/>
        <v>5391.8938356164381</v>
      </c>
      <c r="I50" s="5">
        <f t="shared" si="20"/>
        <v>41929.026582443832</v>
      </c>
    </row>
    <row r="51" spans="1:11" x14ac:dyDescent="0.3">
      <c r="A51" s="6">
        <f t="shared" si="18"/>
        <v>46214</v>
      </c>
      <c r="B51" s="5">
        <f t="shared" ref="B51:H60" si="21">IF(B16&lt;0,0,B16*B$40/365)</f>
        <v>3364.6664369095888</v>
      </c>
      <c r="C51" s="5">
        <f t="shared" si="21"/>
        <v>2997.5024929315073</v>
      </c>
      <c r="D51" s="5">
        <f t="shared" si="21"/>
        <v>4503.3477731506855</v>
      </c>
      <c r="E51" s="5">
        <f t="shared" si="21"/>
        <v>4567.8003287671227</v>
      </c>
      <c r="F51" s="5">
        <f t="shared" si="21"/>
        <v>13576.126947945206</v>
      </c>
      <c r="G51" s="5">
        <f t="shared" si="21"/>
        <v>7527.6887671232871</v>
      </c>
      <c r="H51" s="5">
        <f t="shared" si="21"/>
        <v>5391.8938356164381</v>
      </c>
      <c r="I51" s="5">
        <f t="shared" si="20"/>
        <v>41929.026582443832</v>
      </c>
      <c r="K51" s="34"/>
    </row>
    <row r="52" spans="1:11" x14ac:dyDescent="0.3">
      <c r="A52" s="6">
        <f t="shared" si="18"/>
        <v>46215</v>
      </c>
      <c r="B52" s="5">
        <f t="shared" si="21"/>
        <v>3364.6664369095888</v>
      </c>
      <c r="C52" s="5">
        <f t="shared" si="21"/>
        <v>2997.5024929315073</v>
      </c>
      <c r="D52" s="5">
        <f t="shared" si="21"/>
        <v>4503.3477731506855</v>
      </c>
      <c r="E52" s="5">
        <f t="shared" si="21"/>
        <v>4567.8003287671227</v>
      </c>
      <c r="F52" s="5">
        <f t="shared" si="21"/>
        <v>13576.126947945206</v>
      </c>
      <c r="G52" s="5">
        <f t="shared" si="21"/>
        <v>7527.6887671232871</v>
      </c>
      <c r="H52" s="5">
        <f t="shared" si="21"/>
        <v>5391.8938356164381</v>
      </c>
      <c r="I52" s="5">
        <f t="shared" si="20"/>
        <v>41929.026582443832</v>
      </c>
    </row>
    <row r="53" spans="1:11" x14ac:dyDescent="0.3">
      <c r="A53" s="6">
        <f t="shared" si="18"/>
        <v>46216</v>
      </c>
      <c r="B53" s="5">
        <f t="shared" si="21"/>
        <v>3364.6664369095888</v>
      </c>
      <c r="C53" s="5">
        <f t="shared" si="21"/>
        <v>2997.5024929315073</v>
      </c>
      <c r="D53" s="5">
        <f t="shared" si="21"/>
        <v>4503.3477731506855</v>
      </c>
      <c r="E53" s="5">
        <f t="shared" si="21"/>
        <v>4567.8003287671227</v>
      </c>
      <c r="F53" s="5">
        <f t="shared" si="21"/>
        <v>13576.126947945206</v>
      </c>
      <c r="G53" s="5">
        <f t="shared" si="21"/>
        <v>7527.6887671232871</v>
      </c>
      <c r="H53" s="5">
        <f t="shared" si="21"/>
        <v>5391.8938356164381</v>
      </c>
      <c r="I53" s="5">
        <f t="shared" si="20"/>
        <v>41929.026582443832</v>
      </c>
    </row>
    <row r="54" spans="1:11" x14ac:dyDescent="0.3">
      <c r="A54" s="6">
        <f t="shared" si="18"/>
        <v>46217</v>
      </c>
      <c r="B54" s="5">
        <f t="shared" si="21"/>
        <v>3364.6664369095888</v>
      </c>
      <c r="C54" s="5">
        <f t="shared" si="21"/>
        <v>2997.5024929315073</v>
      </c>
      <c r="D54" s="5">
        <f t="shared" si="21"/>
        <v>4503.3477731506855</v>
      </c>
      <c r="E54" s="5">
        <f t="shared" si="21"/>
        <v>4567.8003287671227</v>
      </c>
      <c r="F54" s="5">
        <f t="shared" si="21"/>
        <v>13576.126947945206</v>
      </c>
      <c r="G54" s="5">
        <f t="shared" si="21"/>
        <v>7527.6887671232871</v>
      </c>
      <c r="H54" s="5">
        <f t="shared" si="21"/>
        <v>5391.8938356164381</v>
      </c>
      <c r="I54" s="5">
        <f t="shared" si="20"/>
        <v>41929.026582443832</v>
      </c>
    </row>
    <row r="55" spans="1:11" x14ac:dyDescent="0.3">
      <c r="A55" s="6">
        <f t="shared" si="18"/>
        <v>46218</v>
      </c>
      <c r="B55" s="5">
        <f t="shared" si="21"/>
        <v>3364.6664369095888</v>
      </c>
      <c r="C55" s="5">
        <f t="shared" si="21"/>
        <v>2997.5024929315073</v>
      </c>
      <c r="D55" s="5">
        <f t="shared" si="21"/>
        <v>4503.3477731506855</v>
      </c>
      <c r="E55" s="5">
        <f t="shared" si="21"/>
        <v>4567.8003287671227</v>
      </c>
      <c r="F55" s="5">
        <f t="shared" si="21"/>
        <v>13576.126947945206</v>
      </c>
      <c r="G55" s="5">
        <f t="shared" si="21"/>
        <v>7527.6887671232871</v>
      </c>
      <c r="H55" s="5">
        <f t="shared" si="21"/>
        <v>5391.8938356164381</v>
      </c>
      <c r="I55" s="5">
        <f t="shared" si="20"/>
        <v>41929.026582443832</v>
      </c>
    </row>
    <row r="56" spans="1:11" x14ac:dyDescent="0.3">
      <c r="A56" s="6">
        <f t="shared" si="18"/>
        <v>46219</v>
      </c>
      <c r="B56" s="5">
        <f t="shared" si="21"/>
        <v>3364.6664369095888</v>
      </c>
      <c r="C56" s="5">
        <f t="shared" si="21"/>
        <v>2997.5024929315073</v>
      </c>
      <c r="D56" s="5">
        <f t="shared" si="21"/>
        <v>4503.3477731506855</v>
      </c>
      <c r="E56" s="5">
        <f t="shared" si="21"/>
        <v>4567.8003287671227</v>
      </c>
      <c r="F56" s="5">
        <f t="shared" si="21"/>
        <v>13576.126947945206</v>
      </c>
      <c r="G56" s="5">
        <f t="shared" si="21"/>
        <v>7527.6887671232871</v>
      </c>
      <c r="H56" s="5">
        <f t="shared" si="21"/>
        <v>5391.8938356164381</v>
      </c>
      <c r="I56" s="5">
        <f t="shared" si="20"/>
        <v>41929.026582443832</v>
      </c>
    </row>
    <row r="57" spans="1:11" x14ac:dyDescent="0.3">
      <c r="A57" s="6">
        <f t="shared" si="18"/>
        <v>46220</v>
      </c>
      <c r="B57" s="5">
        <f t="shared" si="21"/>
        <v>3364.6664369095888</v>
      </c>
      <c r="C57" s="5">
        <f t="shared" si="21"/>
        <v>2997.5024929315073</v>
      </c>
      <c r="D57" s="5">
        <f t="shared" si="21"/>
        <v>4503.3477731506855</v>
      </c>
      <c r="E57" s="5">
        <f t="shared" si="21"/>
        <v>4567.8003287671227</v>
      </c>
      <c r="F57" s="5">
        <f t="shared" si="21"/>
        <v>13576.126947945206</v>
      </c>
      <c r="G57" s="5">
        <f t="shared" si="21"/>
        <v>7527.6887671232871</v>
      </c>
      <c r="H57" s="5">
        <f t="shared" si="21"/>
        <v>5391.8938356164381</v>
      </c>
      <c r="I57" s="5">
        <f t="shared" si="20"/>
        <v>41929.026582443832</v>
      </c>
    </row>
    <row r="58" spans="1:11" x14ac:dyDescent="0.3">
      <c r="A58" s="6">
        <f t="shared" si="18"/>
        <v>46221</v>
      </c>
      <c r="B58" s="5">
        <f t="shared" si="21"/>
        <v>3364.6664369095888</v>
      </c>
      <c r="C58" s="5">
        <f t="shared" si="21"/>
        <v>2997.5024929315073</v>
      </c>
      <c r="D58" s="5">
        <f t="shared" si="21"/>
        <v>4503.3477731506855</v>
      </c>
      <c r="E58" s="5">
        <f t="shared" si="21"/>
        <v>4567.8003287671227</v>
      </c>
      <c r="F58" s="5">
        <f t="shared" si="21"/>
        <v>13576.126947945206</v>
      </c>
      <c r="G58" s="5">
        <f t="shared" si="21"/>
        <v>7527.6887671232871</v>
      </c>
      <c r="H58" s="5">
        <f t="shared" si="21"/>
        <v>5391.8938356164381</v>
      </c>
      <c r="I58" s="5">
        <f t="shared" si="20"/>
        <v>41929.026582443832</v>
      </c>
    </row>
    <row r="59" spans="1:11" x14ac:dyDescent="0.3">
      <c r="A59" s="6">
        <f t="shared" si="18"/>
        <v>46222</v>
      </c>
      <c r="B59" s="5">
        <f t="shared" si="21"/>
        <v>3364.6664369095888</v>
      </c>
      <c r="C59" s="5">
        <f t="shared" si="21"/>
        <v>2997.5024929315073</v>
      </c>
      <c r="D59" s="5">
        <f t="shared" si="21"/>
        <v>4503.3477731506855</v>
      </c>
      <c r="E59" s="5">
        <f t="shared" si="21"/>
        <v>4567.8003287671227</v>
      </c>
      <c r="F59" s="5">
        <f t="shared" si="21"/>
        <v>13576.126947945206</v>
      </c>
      <c r="G59" s="5">
        <f t="shared" si="21"/>
        <v>7527.6887671232871</v>
      </c>
      <c r="H59" s="5">
        <f t="shared" si="21"/>
        <v>5391.8938356164381</v>
      </c>
      <c r="I59" s="5">
        <f t="shared" si="20"/>
        <v>41929.026582443832</v>
      </c>
    </row>
    <row r="60" spans="1:11" x14ac:dyDescent="0.3">
      <c r="A60" s="6">
        <f t="shared" si="18"/>
        <v>46223</v>
      </c>
      <c r="B60" s="5">
        <f t="shared" si="21"/>
        <v>3364.6664369095888</v>
      </c>
      <c r="C60" s="5">
        <f t="shared" si="21"/>
        <v>2997.5024929315073</v>
      </c>
      <c r="D60" s="5">
        <f t="shared" si="21"/>
        <v>4503.3477731506855</v>
      </c>
      <c r="E60" s="5">
        <f t="shared" si="21"/>
        <v>4567.8003287671227</v>
      </c>
      <c r="F60" s="5">
        <f t="shared" si="21"/>
        <v>13576.126947945206</v>
      </c>
      <c r="G60" s="5">
        <f t="shared" si="21"/>
        <v>7527.6887671232871</v>
      </c>
      <c r="H60" s="5">
        <f t="shared" si="21"/>
        <v>5391.8938356164381</v>
      </c>
      <c r="I60" s="5">
        <f t="shared" si="20"/>
        <v>41929.026582443832</v>
      </c>
    </row>
    <row r="61" spans="1:11" x14ac:dyDescent="0.3">
      <c r="A61" s="6">
        <f t="shared" si="18"/>
        <v>46224</v>
      </c>
      <c r="B61" s="5">
        <f t="shared" ref="B61:H70" si="22">IF(B26&lt;0,0,B26*B$40/365)</f>
        <v>3364.6664369095888</v>
      </c>
      <c r="C61" s="5">
        <f t="shared" si="22"/>
        <v>2997.5024929315073</v>
      </c>
      <c r="D61" s="5">
        <f t="shared" si="22"/>
        <v>4503.3477731506855</v>
      </c>
      <c r="E61" s="5">
        <f t="shared" si="22"/>
        <v>4567.8003287671227</v>
      </c>
      <c r="F61" s="5">
        <f t="shared" si="22"/>
        <v>13576.126947945206</v>
      </c>
      <c r="G61" s="5">
        <f t="shared" si="22"/>
        <v>7527.6887671232871</v>
      </c>
      <c r="H61" s="5">
        <f t="shared" si="22"/>
        <v>5391.8938356164381</v>
      </c>
      <c r="I61" s="5">
        <f t="shared" si="20"/>
        <v>41929.026582443832</v>
      </c>
    </row>
    <row r="62" spans="1:11" x14ac:dyDescent="0.3">
      <c r="A62" s="6">
        <f t="shared" si="18"/>
        <v>46225</v>
      </c>
      <c r="B62" s="5">
        <f t="shared" si="22"/>
        <v>3364.6664369095888</v>
      </c>
      <c r="C62" s="5">
        <f t="shared" si="22"/>
        <v>2997.5024929315073</v>
      </c>
      <c r="D62" s="5">
        <f t="shared" si="22"/>
        <v>4503.3477731506855</v>
      </c>
      <c r="E62" s="5">
        <f t="shared" si="22"/>
        <v>4567.8003287671227</v>
      </c>
      <c r="F62" s="5">
        <f t="shared" si="22"/>
        <v>13576.126947945206</v>
      </c>
      <c r="G62" s="5">
        <f t="shared" si="22"/>
        <v>7527.6887671232871</v>
      </c>
      <c r="H62" s="5">
        <f t="shared" si="22"/>
        <v>5391.8938356164381</v>
      </c>
      <c r="I62" s="5">
        <f t="shared" si="20"/>
        <v>41929.026582443832</v>
      </c>
    </row>
    <row r="63" spans="1:11" x14ac:dyDescent="0.3">
      <c r="A63" s="6">
        <f t="shared" si="18"/>
        <v>46226</v>
      </c>
      <c r="B63" s="5">
        <f t="shared" si="22"/>
        <v>3364.6664369095888</v>
      </c>
      <c r="C63" s="5">
        <f t="shared" si="22"/>
        <v>2997.5024929315073</v>
      </c>
      <c r="D63" s="5">
        <f t="shared" si="22"/>
        <v>4503.3477731506855</v>
      </c>
      <c r="E63" s="5">
        <f t="shared" si="22"/>
        <v>4567.8003287671227</v>
      </c>
      <c r="F63" s="5">
        <f t="shared" si="22"/>
        <v>13576.126947945206</v>
      </c>
      <c r="G63" s="5">
        <f t="shared" si="22"/>
        <v>7527.6887671232871</v>
      </c>
      <c r="H63" s="5">
        <f t="shared" si="22"/>
        <v>5391.8938356164381</v>
      </c>
      <c r="I63" s="5">
        <f t="shared" si="20"/>
        <v>41929.026582443832</v>
      </c>
    </row>
    <row r="64" spans="1:11" x14ac:dyDescent="0.3">
      <c r="A64" s="6">
        <f t="shared" si="18"/>
        <v>46227</v>
      </c>
      <c r="B64" s="5">
        <f t="shared" si="22"/>
        <v>3364.6664369095888</v>
      </c>
      <c r="C64" s="5">
        <f t="shared" si="22"/>
        <v>2997.5024929315073</v>
      </c>
      <c r="D64" s="5">
        <f t="shared" si="22"/>
        <v>4503.3477731506855</v>
      </c>
      <c r="E64" s="5">
        <f t="shared" si="22"/>
        <v>4567.8003287671227</v>
      </c>
      <c r="F64" s="5">
        <f t="shared" si="22"/>
        <v>13576.126947945206</v>
      </c>
      <c r="G64" s="5">
        <f t="shared" si="22"/>
        <v>7527.6887671232871</v>
      </c>
      <c r="H64" s="5">
        <f t="shared" si="22"/>
        <v>5391.8938356164381</v>
      </c>
      <c r="I64" s="5">
        <f t="shared" si="20"/>
        <v>41929.026582443832</v>
      </c>
    </row>
    <row r="65" spans="1:10" x14ac:dyDescent="0.3">
      <c r="A65" s="6">
        <f t="shared" si="18"/>
        <v>46228</v>
      </c>
      <c r="B65" s="5">
        <f t="shared" si="22"/>
        <v>3364.6664369095888</v>
      </c>
      <c r="C65" s="5">
        <f t="shared" si="22"/>
        <v>2997.5024929315073</v>
      </c>
      <c r="D65" s="5">
        <f t="shared" si="22"/>
        <v>4503.3477731506855</v>
      </c>
      <c r="E65" s="5">
        <f t="shared" si="22"/>
        <v>4567.8003287671227</v>
      </c>
      <c r="F65" s="5">
        <f t="shared" si="22"/>
        <v>13576.126947945206</v>
      </c>
      <c r="G65" s="5">
        <f t="shared" si="22"/>
        <v>7527.6887671232871</v>
      </c>
      <c r="H65" s="5">
        <f t="shared" si="22"/>
        <v>5391.8938356164381</v>
      </c>
      <c r="I65" s="5">
        <f t="shared" si="20"/>
        <v>41929.026582443832</v>
      </c>
    </row>
    <row r="66" spans="1:10" x14ac:dyDescent="0.3">
      <c r="A66" s="6">
        <f t="shared" si="18"/>
        <v>46229</v>
      </c>
      <c r="B66" s="5">
        <f t="shared" si="22"/>
        <v>3364.6664369095888</v>
      </c>
      <c r="C66" s="5">
        <f t="shared" si="22"/>
        <v>2997.5024929315073</v>
      </c>
      <c r="D66" s="5">
        <f t="shared" si="22"/>
        <v>4503.3477731506855</v>
      </c>
      <c r="E66" s="5">
        <f t="shared" si="22"/>
        <v>4567.8003287671227</v>
      </c>
      <c r="F66" s="5">
        <f t="shared" si="22"/>
        <v>13576.126947945206</v>
      </c>
      <c r="G66" s="5">
        <f t="shared" si="22"/>
        <v>7527.6887671232871</v>
      </c>
      <c r="H66" s="5">
        <f t="shared" si="22"/>
        <v>5391.8938356164381</v>
      </c>
      <c r="I66" s="5">
        <f t="shared" si="20"/>
        <v>41929.026582443832</v>
      </c>
    </row>
    <row r="67" spans="1:10" x14ac:dyDescent="0.3">
      <c r="A67" s="6">
        <f t="shared" si="18"/>
        <v>46230</v>
      </c>
      <c r="B67" s="5">
        <f t="shared" si="22"/>
        <v>3364.6664369095888</v>
      </c>
      <c r="C67" s="5">
        <f t="shared" si="22"/>
        <v>2997.5024929315073</v>
      </c>
      <c r="D67" s="5">
        <f t="shared" si="22"/>
        <v>4503.3477731506855</v>
      </c>
      <c r="E67" s="5">
        <f t="shared" si="22"/>
        <v>4567.8003287671227</v>
      </c>
      <c r="F67" s="5">
        <f t="shared" si="22"/>
        <v>13576.126947945206</v>
      </c>
      <c r="G67" s="5">
        <f t="shared" si="22"/>
        <v>7527.6887671232871</v>
      </c>
      <c r="H67" s="5">
        <f t="shared" si="22"/>
        <v>5391.8938356164381</v>
      </c>
      <c r="I67" s="5">
        <f t="shared" si="20"/>
        <v>41929.026582443832</v>
      </c>
    </row>
    <row r="68" spans="1:10" x14ac:dyDescent="0.3">
      <c r="A68" s="6">
        <f t="shared" si="18"/>
        <v>46231</v>
      </c>
      <c r="B68" s="5">
        <f t="shared" si="22"/>
        <v>3364.6664369095888</v>
      </c>
      <c r="C68" s="5">
        <f t="shared" si="22"/>
        <v>2997.5024929315073</v>
      </c>
      <c r="D68" s="5">
        <f t="shared" si="22"/>
        <v>4503.3477731506855</v>
      </c>
      <c r="E68" s="5">
        <f t="shared" si="22"/>
        <v>4567.8003287671227</v>
      </c>
      <c r="F68" s="5">
        <f t="shared" si="22"/>
        <v>13576.126947945206</v>
      </c>
      <c r="G68" s="5">
        <f t="shared" si="22"/>
        <v>7527.6887671232871</v>
      </c>
      <c r="H68" s="5">
        <f t="shared" si="22"/>
        <v>5391.8938356164381</v>
      </c>
      <c r="I68" s="5">
        <f t="shared" si="20"/>
        <v>41929.026582443832</v>
      </c>
    </row>
    <row r="69" spans="1:10" x14ac:dyDescent="0.3">
      <c r="A69" s="6">
        <f t="shared" si="18"/>
        <v>46232</v>
      </c>
      <c r="B69" s="5">
        <f t="shared" si="22"/>
        <v>3364.6664369095888</v>
      </c>
      <c r="C69" s="5">
        <f t="shared" si="22"/>
        <v>2997.5024929315073</v>
      </c>
      <c r="D69" s="5">
        <f t="shared" si="22"/>
        <v>4503.3477731506855</v>
      </c>
      <c r="E69" s="5">
        <f t="shared" si="22"/>
        <v>4567.8003287671227</v>
      </c>
      <c r="F69" s="5">
        <f t="shared" si="22"/>
        <v>13576.126947945206</v>
      </c>
      <c r="G69" s="5">
        <f t="shared" si="22"/>
        <v>7527.6887671232871</v>
      </c>
      <c r="H69" s="5">
        <f t="shared" si="22"/>
        <v>5391.8938356164381</v>
      </c>
      <c r="I69" s="5">
        <f t="shared" si="20"/>
        <v>41929.026582443832</v>
      </c>
    </row>
    <row r="70" spans="1:10" x14ac:dyDescent="0.3">
      <c r="A70" s="6">
        <f t="shared" si="18"/>
        <v>46233</v>
      </c>
      <c r="B70" s="5">
        <f t="shared" si="22"/>
        <v>3364.6664369095888</v>
      </c>
      <c r="C70" s="5">
        <f t="shared" si="22"/>
        <v>2997.5024929315073</v>
      </c>
      <c r="D70" s="5">
        <f t="shared" si="22"/>
        <v>4503.3477731506855</v>
      </c>
      <c r="E70" s="5">
        <f t="shared" si="22"/>
        <v>4567.8003287671227</v>
      </c>
      <c r="F70" s="5">
        <f t="shared" si="22"/>
        <v>13576.126947945206</v>
      </c>
      <c r="G70" s="5">
        <f t="shared" si="22"/>
        <v>7527.6887671232871</v>
      </c>
      <c r="H70" s="5">
        <f t="shared" si="22"/>
        <v>5391.8938356164381</v>
      </c>
      <c r="I70" s="5">
        <f t="shared" ref="I70" si="23">SUM(B70:H70)</f>
        <v>41929.026582443832</v>
      </c>
    </row>
    <row r="71" spans="1:10" x14ac:dyDescent="0.3">
      <c r="A71" s="6">
        <f t="shared" ref="A71" si="24">A36</f>
        <v>46234</v>
      </c>
      <c r="B71" s="5">
        <f t="shared" ref="B71:H80" si="25">IF(B36&lt;0,0,B36*B$40/365)</f>
        <v>3364.6664369095888</v>
      </c>
      <c r="C71" s="5">
        <f t="shared" si="25"/>
        <v>2997.5024929315073</v>
      </c>
      <c r="D71" s="5">
        <f t="shared" si="25"/>
        <v>4503.3477731506855</v>
      </c>
      <c r="E71" s="5">
        <f t="shared" si="25"/>
        <v>4567.8003287671227</v>
      </c>
      <c r="F71" s="5">
        <f t="shared" si="25"/>
        <v>13576.126947945206</v>
      </c>
      <c r="G71" s="5">
        <f t="shared" si="25"/>
        <v>7527.6887671232871</v>
      </c>
      <c r="H71" s="5">
        <f t="shared" si="25"/>
        <v>5391.8938356164381</v>
      </c>
      <c r="I71" s="5">
        <f t="shared" si="20"/>
        <v>41929.026582443832</v>
      </c>
    </row>
    <row r="72" spans="1:10" x14ac:dyDescent="0.3">
      <c r="A72" s="9" t="s">
        <v>14</v>
      </c>
      <c r="B72" s="10">
        <f t="shared" ref="B72:G72" si="26">SUM(B41:B71)</f>
        <v>104304.65954419717</v>
      </c>
      <c r="C72" s="10">
        <f t="shared" si="26"/>
        <v>92922.577280876736</v>
      </c>
      <c r="D72" s="10">
        <f t="shared" si="26"/>
        <v>139603.78096767125</v>
      </c>
      <c r="E72" s="10">
        <f t="shared" si="26"/>
        <v>141601.81019178074</v>
      </c>
      <c r="F72" s="10">
        <f t="shared" si="26"/>
        <v>420859.9353863016</v>
      </c>
      <c r="G72" s="10">
        <f t="shared" si="26"/>
        <v>233358.35178082201</v>
      </c>
      <c r="H72" s="10">
        <f>SUM(H41:H71)</f>
        <v>167148.70890410966</v>
      </c>
      <c r="I72" s="5">
        <f t="shared" si="20"/>
        <v>1299799.8240557592</v>
      </c>
    </row>
    <row r="73" spans="1:10" x14ac:dyDescent="0.3">
      <c r="A73" s="954"/>
      <c r="B73" s="954"/>
      <c r="C73" s="954"/>
      <c r="D73" s="954"/>
      <c r="E73" s="954"/>
      <c r="F73" s="954"/>
      <c r="G73" s="954"/>
      <c r="H73" s="954"/>
      <c r="I73" s="954"/>
    </row>
    <row r="74" spans="1:10" x14ac:dyDescent="0.3">
      <c r="A74" s="943" t="s">
        <v>73</v>
      </c>
      <c r="B74" s="943"/>
      <c r="C74" s="943"/>
      <c r="D74" s="943"/>
      <c r="E74" s="943"/>
      <c r="F74" s="943"/>
      <c r="G74" s="943"/>
      <c r="H74" s="943"/>
      <c r="I74" s="943"/>
    </row>
    <row r="75" spans="1:10" s="75" customFormat="1" ht="54" customHeight="1" x14ac:dyDescent="0.25">
      <c r="A75" s="51" t="s">
        <v>18</v>
      </c>
      <c r="B75" s="46" t="str">
        <f t="shared" ref="B75:I75" si="27">B5</f>
        <v>FILFTR00018526PK
(C.D 12.01.2026, M.D 11.07.2026)</v>
      </c>
      <c r="C75" s="46" t="str">
        <f t="shared" si="27"/>
        <v>FILFTR00153326PK
(C.D 11.03.2026, M.D 07.09.2026)</v>
      </c>
      <c r="D75" s="46" t="str">
        <f t="shared" si="27"/>
        <v>FILFTR00190526PK
(C.D 30.03.2026, M.D 26.09.2026)</v>
      </c>
      <c r="E75" s="46" t="str">
        <f t="shared" si="27"/>
        <v>FILFTR00206426PK
(C.D 07.04.2026, M.D 04.10.2026)</v>
      </c>
      <c r="F75" s="46" t="str">
        <f t="shared" si="27"/>
        <v>FILFTR00272426PK
(C.D 08.05.2026, M.D 04.11.2026)</v>
      </c>
      <c r="G75" s="46" t="str">
        <f>G5</f>
        <v>FILFTR00329126PK
(C.D 03.06.2026, M.D 30.11.2026)</v>
      </c>
      <c r="H75" s="46" t="str">
        <f>H5</f>
        <v>FILFTR00362026PK
(C.D 23.06.2026, M.D 20.12.2026)</v>
      </c>
      <c r="I75" s="46" t="str">
        <f t="shared" si="27"/>
        <v>Total</v>
      </c>
    </row>
    <row r="76" spans="1:10" x14ac:dyDescent="0.3">
      <c r="A76" s="11" t="s">
        <v>15</v>
      </c>
      <c r="B76" s="578">
        <v>571993.29427462968</v>
      </c>
      <c r="C76" s="578">
        <v>335720.27920832881</v>
      </c>
      <c r="D76" s="578">
        <v>418811.34290301369</v>
      </c>
      <c r="E76" s="578">
        <v>388263.02794520522</v>
      </c>
      <c r="F76" s="578">
        <v>733110.85518904147</v>
      </c>
      <c r="G76" s="578">
        <v>210775.28547945211</v>
      </c>
      <c r="H76" s="578">
        <v>43135.150684931497</v>
      </c>
      <c r="I76" s="306">
        <f>SUM(B76:H76)</f>
        <v>2701809.2356846021</v>
      </c>
      <c r="J76" s="139"/>
    </row>
    <row r="77" spans="1:10" x14ac:dyDescent="0.3">
      <c r="A77" s="11" t="s">
        <v>16</v>
      </c>
      <c r="B77" s="5">
        <f t="shared" ref="B77:G77" si="28">B72</f>
        <v>104304.65954419717</v>
      </c>
      <c r="C77" s="5">
        <f t="shared" si="28"/>
        <v>92922.577280876736</v>
      </c>
      <c r="D77" s="5">
        <f t="shared" si="28"/>
        <v>139603.78096767125</v>
      </c>
      <c r="E77" s="5">
        <f t="shared" si="28"/>
        <v>141601.81019178074</v>
      </c>
      <c r="F77" s="5">
        <f t="shared" si="28"/>
        <v>420859.9353863016</v>
      </c>
      <c r="G77" s="5">
        <f t="shared" si="28"/>
        <v>233358.35178082201</v>
      </c>
      <c r="H77" s="5">
        <f>H72</f>
        <v>167148.70890410966</v>
      </c>
      <c r="I77" s="306">
        <f>SUM(B77:H77)</f>
        <v>1299799.8240557592</v>
      </c>
    </row>
    <row r="78" spans="1:10" x14ac:dyDescent="0.3">
      <c r="A78" s="11" t="s">
        <v>26</v>
      </c>
      <c r="B78" s="642"/>
      <c r="C78" s="642"/>
      <c r="D78" s="642"/>
      <c r="E78" s="642"/>
      <c r="F78" s="642"/>
      <c r="G78" s="642"/>
      <c r="H78" s="642"/>
      <c r="I78" s="306">
        <f>SUM(B78:H78)</f>
        <v>0</v>
      </c>
    </row>
    <row r="79" spans="1:10" x14ac:dyDescent="0.3">
      <c r="A79" s="11" t="s">
        <v>14</v>
      </c>
      <c r="B79" s="5">
        <f t="shared" ref="B79:G79" si="29">SUM(B76:B78)</f>
        <v>676297.95381882682</v>
      </c>
      <c r="C79" s="5">
        <f t="shared" si="29"/>
        <v>428642.85648920556</v>
      </c>
      <c r="D79" s="5">
        <f t="shared" si="29"/>
        <v>558415.123870685</v>
      </c>
      <c r="E79" s="5">
        <f t="shared" si="29"/>
        <v>529864.8381369859</v>
      </c>
      <c r="F79" s="5">
        <f t="shared" si="29"/>
        <v>1153970.7905753432</v>
      </c>
      <c r="G79" s="5">
        <f t="shared" si="29"/>
        <v>444133.63726027415</v>
      </c>
      <c r="H79" s="5">
        <f>SUM(H76:H78)</f>
        <v>210283.85958904115</v>
      </c>
      <c r="I79" s="306">
        <f>SUM(B79:H79)</f>
        <v>4001609.0597403618</v>
      </c>
    </row>
    <row r="80" spans="1:10" x14ac:dyDescent="0.3">
      <c r="A80" s="939"/>
      <c r="B80" s="939"/>
      <c r="C80" s="939"/>
      <c r="D80" s="939"/>
      <c r="E80" s="939"/>
      <c r="F80" s="939"/>
      <c r="G80" s="939"/>
      <c r="H80" s="939"/>
      <c r="I80" s="939"/>
    </row>
    <row r="81" spans="1:10" ht="17.399999999999999" x14ac:dyDescent="0.3">
      <c r="A81" s="12" t="s">
        <v>30</v>
      </c>
      <c r="B81" s="44"/>
      <c r="C81" s="44"/>
      <c r="D81" s="44"/>
      <c r="E81" s="44"/>
      <c r="F81" s="44"/>
      <c r="G81" s="44"/>
      <c r="H81" s="44"/>
      <c r="I81" s="13">
        <f>SUM(B81:H81)</f>
        <v>0</v>
      </c>
      <c r="J81" s="707"/>
    </row>
    <row r="82" spans="1:10" x14ac:dyDescent="0.3">
      <c r="A82" s="940"/>
      <c r="B82" s="940"/>
      <c r="C82" s="940"/>
      <c r="D82" s="940"/>
      <c r="E82" s="940"/>
      <c r="F82" s="940"/>
      <c r="G82" s="940"/>
      <c r="H82" s="940"/>
      <c r="I82" s="940"/>
    </row>
    <row r="83" spans="1:10" x14ac:dyDescent="0.3">
      <c r="A83" s="12" t="s">
        <v>4</v>
      </c>
      <c r="B83" s="44"/>
      <c r="C83" s="44"/>
      <c r="D83" s="44"/>
      <c r="E83" s="44"/>
      <c r="F83" s="44"/>
      <c r="G83" s="44"/>
      <c r="H83" s="44"/>
      <c r="I83" s="13"/>
    </row>
    <row r="84" spans="1:10" x14ac:dyDescent="0.3">
      <c r="A84" s="940"/>
      <c r="B84" s="940"/>
      <c r="C84" s="940"/>
      <c r="D84" s="940"/>
      <c r="E84" s="940"/>
      <c r="F84" s="940"/>
      <c r="G84" s="940"/>
      <c r="H84" s="940"/>
      <c r="I84" s="940"/>
    </row>
    <row r="85" spans="1:10" x14ac:dyDescent="0.3">
      <c r="A85" s="28" t="s">
        <v>17</v>
      </c>
      <c r="B85" s="29">
        <f t="shared" ref="B85:G85" si="30">B72+B83+B78</f>
        <v>104304.65954419717</v>
      </c>
      <c r="C85" s="29">
        <f t="shared" si="30"/>
        <v>92922.577280876736</v>
      </c>
      <c r="D85" s="29">
        <f t="shared" si="30"/>
        <v>139603.78096767125</v>
      </c>
      <c r="E85" s="29">
        <f t="shared" si="30"/>
        <v>141601.81019178074</v>
      </c>
      <c r="F85" s="29">
        <f t="shared" si="30"/>
        <v>420859.9353863016</v>
      </c>
      <c r="G85" s="29">
        <f t="shared" si="30"/>
        <v>233358.35178082201</v>
      </c>
      <c r="H85" s="29">
        <f>H72+H83+H78</f>
        <v>167148.70890410966</v>
      </c>
      <c r="I85" s="29">
        <f>SUM(B85:H85)</f>
        <v>1299799.8240557592</v>
      </c>
    </row>
    <row r="86" spans="1:10" x14ac:dyDescent="0.3">
      <c r="A86" s="940"/>
      <c r="B86" s="940"/>
      <c r="C86" s="940"/>
      <c r="D86" s="940"/>
      <c r="E86" s="940"/>
      <c r="F86" s="940"/>
      <c r="G86" s="940"/>
      <c r="H86" s="940"/>
      <c r="I86" s="940"/>
    </row>
    <row r="87" spans="1:10" x14ac:dyDescent="0.3">
      <c r="A87" s="99" t="s">
        <v>31</v>
      </c>
      <c r="B87" s="98">
        <f t="shared" ref="B87:G87" si="31">B79+B83-B81</f>
        <v>676297.95381882682</v>
      </c>
      <c r="C87" s="98">
        <f t="shared" si="31"/>
        <v>428642.85648920556</v>
      </c>
      <c r="D87" s="98">
        <f t="shared" si="31"/>
        <v>558415.123870685</v>
      </c>
      <c r="E87" s="98">
        <f t="shared" si="31"/>
        <v>529864.8381369859</v>
      </c>
      <c r="F87" s="98">
        <f t="shared" si="31"/>
        <v>1153970.7905753432</v>
      </c>
      <c r="G87" s="98">
        <f t="shared" si="31"/>
        <v>444133.63726027415</v>
      </c>
      <c r="H87" s="98">
        <f>H79+H83-H81</f>
        <v>210283.85958904115</v>
      </c>
      <c r="I87" s="98">
        <f>I79+I83-I81</f>
        <v>4001609.0597403618</v>
      </c>
    </row>
    <row r="88" spans="1:10" x14ac:dyDescent="0.3">
      <c r="A88" s="322" t="s">
        <v>264</v>
      </c>
      <c r="B88" s="399">
        <v>30000833</v>
      </c>
      <c r="C88" s="399">
        <v>30000877</v>
      </c>
      <c r="D88" s="399">
        <v>30000879</v>
      </c>
      <c r="E88" s="399">
        <v>30000883</v>
      </c>
      <c r="F88" s="399">
        <v>30000890</v>
      </c>
      <c r="G88" s="399">
        <v>30000906</v>
      </c>
      <c r="H88" s="399">
        <v>30000913</v>
      </c>
    </row>
    <row r="91" spans="1:10" x14ac:dyDescent="0.3">
      <c r="A91" s="318" t="s">
        <v>265</v>
      </c>
      <c r="B91" s="322">
        <v>9200000009</v>
      </c>
      <c r="C91" s="322"/>
      <c r="D91" s="322"/>
      <c r="E91" s="322"/>
      <c r="F91" s="322"/>
      <c r="G91" s="322"/>
      <c r="H91" s="322"/>
    </row>
    <row r="92" spans="1:10" x14ac:dyDescent="0.3">
      <c r="A92" s="318" t="s">
        <v>266</v>
      </c>
      <c r="B92" s="322">
        <v>40000016</v>
      </c>
      <c r="C92" s="322"/>
      <c r="D92" s="322"/>
      <c r="E92" s="322"/>
      <c r="F92" s="322"/>
      <c r="G92" s="322"/>
      <c r="H92" s="322"/>
    </row>
  </sheetData>
  <mergeCells count="10">
    <mergeCell ref="A1:I1"/>
    <mergeCell ref="A3:I3"/>
    <mergeCell ref="A4:I4"/>
    <mergeCell ref="A38:I38"/>
    <mergeCell ref="A86:I86"/>
    <mergeCell ref="A73:I73"/>
    <mergeCell ref="A74:I74"/>
    <mergeCell ref="A80:I80"/>
    <mergeCell ref="A82:I82"/>
    <mergeCell ref="A84:I84"/>
  </mergeCells>
  <phoneticPr fontId="23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1" orientation="portrait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D4A9-B89E-426E-A0FE-3EAAE2A5554A}">
  <sheetPr>
    <pageSetUpPr fitToPage="1"/>
  </sheetPr>
  <dimension ref="A1:AJ49"/>
  <sheetViews>
    <sheetView showGridLines="0" topLeftCell="A20" zoomScaleNormal="100" workbookViewId="0">
      <selection activeCell="K41" sqref="K41"/>
    </sheetView>
  </sheetViews>
  <sheetFormatPr defaultColWidth="10.6328125" defaultRowHeight="13.8" x14ac:dyDescent="0.3"/>
  <cols>
    <col min="1" max="1" width="9.6328125" style="3" customWidth="1"/>
    <col min="2" max="2" width="12.453125" style="2" customWidth="1"/>
    <col min="3" max="3" width="10.90625" style="2" bestFit="1" customWidth="1"/>
    <col min="4" max="4" width="11" style="2" customWidth="1"/>
    <col min="5" max="5" width="12" style="2" customWidth="1"/>
    <col min="6" max="6" width="0.90625" style="3" customWidth="1"/>
    <col min="7" max="7" width="7.08984375" style="3" customWidth="1"/>
    <col min="8" max="8" width="10.81640625" style="3" customWidth="1"/>
    <col min="9" max="9" width="9.453125" style="3" customWidth="1"/>
    <col min="10" max="10" width="1.7265625" style="31" customWidth="1"/>
    <col min="11" max="11" width="11.08984375" style="3" customWidth="1"/>
    <col min="12" max="12" width="13.08984375" style="3" bestFit="1" customWidth="1"/>
    <col min="13" max="13" width="11" style="331" bestFit="1" customWidth="1"/>
    <col min="14" max="36" width="10.6328125" style="331"/>
    <col min="37" max="16384" width="10.6328125" style="3"/>
  </cols>
  <sheetData>
    <row r="1" spans="1:15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</row>
    <row r="2" spans="1:15" ht="18.600000000000001" thickBot="1" x14ac:dyDescent="0.4">
      <c r="A2" s="955" t="s">
        <v>155</v>
      </c>
      <c r="B2" s="955"/>
      <c r="C2" s="955"/>
      <c r="D2" s="955"/>
      <c r="E2" s="955"/>
      <c r="F2" s="955"/>
      <c r="G2" s="955"/>
      <c r="H2" s="955"/>
      <c r="I2" s="955"/>
      <c r="J2" s="955"/>
      <c r="K2" s="27">
        <f>'FINANCIAL COST SUMMARY'!K2</f>
        <v>46204</v>
      </c>
    </row>
    <row r="3" spans="1:15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380">
        <v>89770684.209999993</v>
      </c>
    </row>
    <row r="4" spans="1:15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84" t="s">
        <v>168</v>
      </c>
      <c r="H4" s="986" t="s">
        <v>217</v>
      </c>
      <c r="I4" s="976" t="s">
        <v>169</v>
      </c>
      <c r="J4" s="988"/>
      <c r="K4" s="971" t="s">
        <v>170</v>
      </c>
    </row>
    <row r="5" spans="1:15" ht="36" customHeight="1" x14ac:dyDescent="0.3">
      <c r="A5" s="958"/>
      <c r="B5" s="983"/>
      <c r="C5" s="67" t="s">
        <v>7</v>
      </c>
      <c r="D5" s="67" t="s">
        <v>8</v>
      </c>
      <c r="E5" s="960"/>
      <c r="G5" s="985"/>
      <c r="H5" s="987"/>
      <c r="I5" s="977"/>
      <c r="J5" s="988"/>
      <c r="K5" s="972"/>
    </row>
    <row r="6" spans="1:15" x14ac:dyDescent="0.3">
      <c r="A6" s="603">
        <v>46204</v>
      </c>
      <c r="B6" s="380"/>
      <c r="C6" s="41"/>
      <c r="D6" s="14"/>
      <c r="E6" s="5">
        <f>SUM(B6:D6)</f>
        <v>0</v>
      </c>
      <c r="G6" s="15">
        <v>5.0000000000000001E-3</v>
      </c>
      <c r="H6" s="336">
        <v>0.1115</v>
      </c>
      <c r="I6" s="383">
        <f>+H6+G6</f>
        <v>0.11650000000000001</v>
      </c>
      <c r="J6" s="223"/>
      <c r="K6" s="313">
        <f>E6*I6/365</f>
        <v>0</v>
      </c>
      <c r="L6" s="332">
        <f>+E6-L3</f>
        <v>-89770684.209999993</v>
      </c>
      <c r="M6" s="643"/>
      <c r="O6" s="643"/>
    </row>
    <row r="7" spans="1:15" x14ac:dyDescent="0.3">
      <c r="A7" s="603">
        <f>+A6+1</f>
        <v>46205</v>
      </c>
      <c r="B7" s="1018">
        <v>1006536.84</v>
      </c>
      <c r="C7" s="41"/>
      <c r="D7" s="14"/>
      <c r="E7" s="5">
        <f t="shared" ref="E7:E32" si="0">SUM(B7:D7)</f>
        <v>0</v>
      </c>
      <c r="G7" s="15">
        <v>5.0000000000000001E-3</v>
      </c>
      <c r="H7" s="336">
        <v>0.1115</v>
      </c>
      <c r="I7" s="383">
        <f t="shared" ref="I7:I32" si="1">+H7+G7</f>
        <v>0.11650000000000001</v>
      </c>
      <c r="J7" s="223"/>
      <c r="K7" s="313">
        <f t="shared" ref="K7:K32" si="2">E7*I7/365</f>
        <v>0</v>
      </c>
      <c r="L7" s="332">
        <f t="shared" ref="L7:L34" si="3">+E7-E6</f>
        <v>0</v>
      </c>
    </row>
    <row r="8" spans="1:15" x14ac:dyDescent="0.3">
      <c r="A8" s="603">
        <f t="shared" ref="A8:A36" si="4">+A7+1</f>
        <v>46206</v>
      </c>
      <c r="B8" s="1018">
        <v>1006536.84</v>
      </c>
      <c r="C8" s="41"/>
      <c r="D8" s="14"/>
      <c r="E8" s="5">
        <f t="shared" si="0"/>
        <v>0</v>
      </c>
      <c r="G8" s="15">
        <v>5.0000000000000001E-3</v>
      </c>
      <c r="H8" s="336">
        <v>0.1115</v>
      </c>
      <c r="I8" s="383">
        <f t="shared" si="1"/>
        <v>0.11650000000000001</v>
      </c>
      <c r="J8" s="223"/>
      <c r="K8" s="313">
        <f t="shared" si="2"/>
        <v>0</v>
      </c>
      <c r="L8" s="332">
        <f t="shared" si="3"/>
        <v>0</v>
      </c>
      <c r="M8" s="378"/>
    </row>
    <row r="9" spans="1:15" x14ac:dyDescent="0.3">
      <c r="A9" s="6">
        <f t="shared" si="4"/>
        <v>46207</v>
      </c>
      <c r="B9" s="1018">
        <v>1006536.84</v>
      </c>
      <c r="C9" s="42"/>
      <c r="D9" s="14"/>
      <c r="E9" s="5">
        <f t="shared" si="0"/>
        <v>0</v>
      </c>
      <c r="G9" s="15">
        <v>5.0000000000000001E-3</v>
      </c>
      <c r="H9" s="336">
        <v>0.1115</v>
      </c>
      <c r="I9" s="383">
        <f t="shared" si="1"/>
        <v>0.11650000000000001</v>
      </c>
      <c r="J9" s="223"/>
      <c r="K9" s="313">
        <f>E9*I9/365</f>
        <v>0</v>
      </c>
      <c r="L9" s="332">
        <f t="shared" si="3"/>
        <v>0</v>
      </c>
      <c r="M9" s="378"/>
    </row>
    <row r="10" spans="1:15" x14ac:dyDescent="0.3">
      <c r="A10" s="6">
        <f t="shared" si="4"/>
        <v>46208</v>
      </c>
      <c r="B10" s="1018">
        <v>1006536.84</v>
      </c>
      <c r="C10" s="43"/>
      <c r="D10" s="5"/>
      <c r="E10" s="5">
        <f t="shared" si="0"/>
        <v>0</v>
      </c>
      <c r="G10" s="15">
        <v>5.0000000000000001E-3</v>
      </c>
      <c r="H10" s="336">
        <v>0.1115</v>
      </c>
      <c r="I10" s="383">
        <f t="shared" si="1"/>
        <v>0.11650000000000001</v>
      </c>
      <c r="J10" s="223"/>
      <c r="K10" s="313">
        <f>E10*I10/365</f>
        <v>0</v>
      </c>
      <c r="L10" s="332">
        <f t="shared" si="3"/>
        <v>0</v>
      </c>
      <c r="M10" s="378"/>
    </row>
    <row r="11" spans="1:15" x14ac:dyDescent="0.3">
      <c r="A11" s="6">
        <f t="shared" si="4"/>
        <v>46209</v>
      </c>
      <c r="B11" s="1018">
        <v>1006536.84</v>
      </c>
      <c r="C11" s="44"/>
      <c r="D11" s="35"/>
      <c r="E11" s="5">
        <f t="shared" si="0"/>
        <v>0</v>
      </c>
      <c r="G11" s="15">
        <v>5.0000000000000001E-3</v>
      </c>
      <c r="H11" s="336">
        <v>0.1115</v>
      </c>
      <c r="I11" s="383">
        <f t="shared" si="1"/>
        <v>0.11650000000000001</v>
      </c>
      <c r="J11" s="223"/>
      <c r="K11" s="313">
        <f>E11*I11/365</f>
        <v>0</v>
      </c>
      <c r="L11" s="332">
        <f t="shared" si="3"/>
        <v>0</v>
      </c>
      <c r="M11" s="332"/>
    </row>
    <row r="12" spans="1:15" x14ac:dyDescent="0.3">
      <c r="A12" s="315">
        <f t="shared" si="4"/>
        <v>46210</v>
      </c>
      <c r="B12" s="380"/>
      <c r="C12" s="381"/>
      <c r="D12" s="381"/>
      <c r="E12" s="381">
        <f t="shared" si="0"/>
        <v>0</v>
      </c>
      <c r="F12" s="331"/>
      <c r="G12" s="15">
        <v>5.0000000000000001E-3</v>
      </c>
      <c r="H12" s="336">
        <v>0.1115</v>
      </c>
      <c r="I12" s="383">
        <f t="shared" si="1"/>
        <v>0.11650000000000001</v>
      </c>
      <c r="J12" s="384"/>
      <c r="K12" s="313">
        <f t="shared" si="2"/>
        <v>0</v>
      </c>
      <c r="L12" s="332">
        <f t="shared" si="3"/>
        <v>0</v>
      </c>
      <c r="N12" s="643"/>
    </row>
    <row r="13" spans="1:15" x14ac:dyDescent="0.3">
      <c r="A13" s="6">
        <f t="shared" si="4"/>
        <v>46211</v>
      </c>
      <c r="B13" s="380"/>
      <c r="C13" s="35"/>
      <c r="D13" s="5"/>
      <c r="E13" s="5">
        <f t="shared" si="0"/>
        <v>0</v>
      </c>
      <c r="G13" s="15">
        <v>5.0000000000000001E-3</v>
      </c>
      <c r="H13" s="336">
        <v>0.1115</v>
      </c>
      <c r="I13" s="383">
        <f t="shared" si="1"/>
        <v>0.11650000000000001</v>
      </c>
      <c r="J13" s="223"/>
      <c r="K13" s="313">
        <f t="shared" si="2"/>
        <v>0</v>
      </c>
      <c r="L13" s="332">
        <f t="shared" si="3"/>
        <v>0</v>
      </c>
    </row>
    <row r="14" spans="1:15" x14ac:dyDescent="0.3">
      <c r="A14" s="6">
        <f t="shared" si="4"/>
        <v>46212</v>
      </c>
      <c r="B14" s="380"/>
      <c r="C14" s="35"/>
      <c r="D14" s="5"/>
      <c r="E14" s="5">
        <f t="shared" si="0"/>
        <v>0</v>
      </c>
      <c r="G14" s="15">
        <v>5.0000000000000001E-3</v>
      </c>
      <c r="H14" s="336">
        <v>0.1115</v>
      </c>
      <c r="I14" s="383">
        <f t="shared" si="1"/>
        <v>0.11650000000000001</v>
      </c>
      <c r="J14" s="223"/>
      <c r="K14" s="313">
        <f t="shared" si="2"/>
        <v>0</v>
      </c>
      <c r="L14" s="332">
        <f t="shared" si="3"/>
        <v>0</v>
      </c>
    </row>
    <row r="15" spans="1:15" x14ac:dyDescent="0.3">
      <c r="A15" s="6">
        <f t="shared" si="4"/>
        <v>46213</v>
      </c>
      <c r="B15" s="380"/>
      <c r="C15" s="35"/>
      <c r="D15" s="5"/>
      <c r="E15" s="5">
        <f t="shared" si="0"/>
        <v>0</v>
      </c>
      <c r="G15" s="15">
        <v>5.0000000000000001E-3</v>
      </c>
      <c r="H15" s="336">
        <v>0.1115</v>
      </c>
      <c r="I15" s="383">
        <f t="shared" si="1"/>
        <v>0.11650000000000001</v>
      </c>
      <c r="J15" s="223"/>
      <c r="K15" s="313">
        <f t="shared" si="2"/>
        <v>0</v>
      </c>
      <c r="L15" s="332">
        <f t="shared" si="3"/>
        <v>0</v>
      </c>
      <c r="M15" s="378"/>
      <c r="N15" s="378"/>
    </row>
    <row r="16" spans="1:15" x14ac:dyDescent="0.3">
      <c r="A16" s="6">
        <f t="shared" si="4"/>
        <v>46214</v>
      </c>
      <c r="B16" s="380"/>
      <c r="C16" s="35"/>
      <c r="D16" s="5"/>
      <c r="E16" s="5">
        <f t="shared" si="0"/>
        <v>0</v>
      </c>
      <c r="G16" s="15">
        <v>5.0000000000000001E-3</v>
      </c>
      <c r="H16" s="336">
        <v>0.1115</v>
      </c>
      <c r="I16" s="383">
        <f t="shared" si="1"/>
        <v>0.11650000000000001</v>
      </c>
      <c r="J16" s="223"/>
      <c r="K16" s="313">
        <f t="shared" si="2"/>
        <v>0</v>
      </c>
      <c r="L16" s="332">
        <f t="shared" si="3"/>
        <v>0</v>
      </c>
      <c r="M16" s="378"/>
    </row>
    <row r="17" spans="1:14" x14ac:dyDescent="0.3">
      <c r="A17" s="6">
        <f t="shared" si="4"/>
        <v>46215</v>
      </c>
      <c r="B17" s="380"/>
      <c r="C17" s="5"/>
      <c r="D17" s="5"/>
      <c r="E17" s="5">
        <f t="shared" si="0"/>
        <v>0</v>
      </c>
      <c r="G17" s="15">
        <v>5.0000000000000001E-3</v>
      </c>
      <c r="H17" s="336">
        <v>0.1115</v>
      </c>
      <c r="I17" s="383">
        <f t="shared" si="1"/>
        <v>0.11650000000000001</v>
      </c>
      <c r="J17" s="223"/>
      <c r="K17" s="313">
        <f t="shared" si="2"/>
        <v>0</v>
      </c>
      <c r="L17" s="332">
        <f t="shared" si="3"/>
        <v>0</v>
      </c>
      <c r="M17" s="378"/>
    </row>
    <row r="18" spans="1:14" x14ac:dyDescent="0.3">
      <c r="A18" s="6">
        <f t="shared" si="4"/>
        <v>46216</v>
      </c>
      <c r="B18" s="380"/>
      <c r="C18" s="5"/>
      <c r="D18" s="5"/>
      <c r="E18" s="5">
        <f t="shared" si="0"/>
        <v>0</v>
      </c>
      <c r="G18" s="15">
        <v>5.0000000000000001E-3</v>
      </c>
      <c r="H18" s="336">
        <v>0.1115</v>
      </c>
      <c r="I18" s="383">
        <f t="shared" si="1"/>
        <v>0.11650000000000001</v>
      </c>
      <c r="J18" s="223"/>
      <c r="K18" s="313">
        <f t="shared" si="2"/>
        <v>0</v>
      </c>
      <c r="L18" s="332">
        <f t="shared" si="3"/>
        <v>0</v>
      </c>
    </row>
    <row r="19" spans="1:14" x14ac:dyDescent="0.3">
      <c r="A19" s="6">
        <f t="shared" si="4"/>
        <v>46217</v>
      </c>
      <c r="B19" s="380"/>
      <c r="C19" s="5"/>
      <c r="D19" s="5"/>
      <c r="E19" s="5">
        <f t="shared" si="0"/>
        <v>0</v>
      </c>
      <c r="G19" s="15">
        <v>5.0000000000000001E-3</v>
      </c>
      <c r="H19" s="336">
        <v>0.1115</v>
      </c>
      <c r="I19" s="383">
        <f t="shared" si="1"/>
        <v>0.11650000000000001</v>
      </c>
      <c r="J19" s="223"/>
      <c r="K19" s="313">
        <f t="shared" si="2"/>
        <v>0</v>
      </c>
      <c r="L19" s="332">
        <f t="shared" si="3"/>
        <v>0</v>
      </c>
      <c r="M19" s="378"/>
    </row>
    <row r="20" spans="1:14" x14ac:dyDescent="0.3">
      <c r="A20" s="6">
        <f t="shared" si="4"/>
        <v>46218</v>
      </c>
      <c r="B20" s="380"/>
      <c r="C20" s="5"/>
      <c r="D20" s="5"/>
      <c r="E20" s="5">
        <f t="shared" si="0"/>
        <v>0</v>
      </c>
      <c r="G20" s="15">
        <v>5.0000000000000001E-3</v>
      </c>
      <c r="H20" s="336">
        <v>0.1115</v>
      </c>
      <c r="I20" s="383">
        <f t="shared" si="1"/>
        <v>0.11650000000000001</v>
      </c>
      <c r="J20" s="223"/>
      <c r="K20" s="313">
        <f t="shared" si="2"/>
        <v>0</v>
      </c>
      <c r="L20" s="332">
        <f t="shared" si="3"/>
        <v>0</v>
      </c>
      <c r="N20" s="378"/>
    </row>
    <row r="21" spans="1:14" x14ac:dyDescent="0.3">
      <c r="A21" s="6">
        <f t="shared" si="4"/>
        <v>46219</v>
      </c>
      <c r="B21" s="380"/>
      <c r="C21" s="5"/>
      <c r="D21" s="5"/>
      <c r="E21" s="5">
        <f t="shared" si="0"/>
        <v>0</v>
      </c>
      <c r="G21" s="15">
        <v>5.0000000000000001E-3</v>
      </c>
      <c r="H21" s="336">
        <v>0.1115</v>
      </c>
      <c r="I21" s="383">
        <f t="shared" si="1"/>
        <v>0.11650000000000001</v>
      </c>
      <c r="J21" s="223"/>
      <c r="K21" s="313">
        <f t="shared" si="2"/>
        <v>0</v>
      </c>
      <c r="L21" s="332">
        <f t="shared" si="3"/>
        <v>0</v>
      </c>
      <c r="M21" s="378"/>
      <c r="N21" s="378"/>
    </row>
    <row r="22" spans="1:14" x14ac:dyDescent="0.3">
      <c r="A22" s="6">
        <f t="shared" si="4"/>
        <v>46220</v>
      </c>
      <c r="B22" s="380"/>
      <c r="C22" s="5"/>
      <c r="D22" s="5"/>
      <c r="E22" s="5">
        <f t="shared" si="0"/>
        <v>0</v>
      </c>
      <c r="G22" s="15">
        <v>5.0000000000000001E-3</v>
      </c>
      <c r="H22" s="336">
        <v>0.1115</v>
      </c>
      <c r="I22" s="383">
        <f t="shared" si="1"/>
        <v>0.11650000000000001</v>
      </c>
      <c r="J22" s="223"/>
      <c r="K22" s="313">
        <f t="shared" si="2"/>
        <v>0</v>
      </c>
      <c r="L22" s="332">
        <f t="shared" si="3"/>
        <v>0</v>
      </c>
    </row>
    <row r="23" spans="1:14" x14ac:dyDescent="0.3">
      <c r="A23" s="6">
        <f t="shared" si="4"/>
        <v>46221</v>
      </c>
      <c r="B23" s="380"/>
      <c r="C23" s="35"/>
      <c r="D23" s="5"/>
      <c r="E23" s="5">
        <f t="shared" si="0"/>
        <v>0</v>
      </c>
      <c r="G23" s="15">
        <v>5.0000000000000001E-3</v>
      </c>
      <c r="H23" s="336">
        <v>0.1115</v>
      </c>
      <c r="I23" s="383">
        <f t="shared" si="1"/>
        <v>0.11650000000000001</v>
      </c>
      <c r="J23" s="223"/>
      <c r="K23" s="313">
        <f t="shared" si="2"/>
        <v>0</v>
      </c>
      <c r="L23" s="332">
        <f t="shared" si="3"/>
        <v>0</v>
      </c>
    </row>
    <row r="24" spans="1:14" s="331" customFormat="1" x14ac:dyDescent="0.3">
      <c r="A24" s="315">
        <f t="shared" si="4"/>
        <v>46222</v>
      </c>
      <c r="B24" s="380"/>
      <c r="C24" s="381"/>
      <c r="D24" s="381"/>
      <c r="E24" s="381">
        <f t="shared" si="0"/>
        <v>0</v>
      </c>
      <c r="G24" s="15">
        <v>5.0000000000000001E-3</v>
      </c>
      <c r="H24" s="336">
        <v>0.1115</v>
      </c>
      <c r="I24" s="383">
        <f t="shared" si="1"/>
        <v>0.11650000000000001</v>
      </c>
      <c r="J24" s="384"/>
      <c r="K24" s="385">
        <f t="shared" si="2"/>
        <v>0</v>
      </c>
      <c r="L24" s="332">
        <f t="shared" si="3"/>
        <v>0</v>
      </c>
    </row>
    <row r="25" spans="1:14" x14ac:dyDescent="0.3">
      <c r="A25" s="6">
        <f t="shared" si="4"/>
        <v>46223</v>
      </c>
      <c r="B25" s="380"/>
      <c r="C25" s="5"/>
      <c r="D25" s="5"/>
      <c r="E25" s="5">
        <f t="shared" si="0"/>
        <v>0</v>
      </c>
      <c r="G25" s="15">
        <v>5.0000000000000001E-3</v>
      </c>
      <c r="H25" s="336">
        <v>0.1115</v>
      </c>
      <c r="I25" s="383">
        <f t="shared" si="1"/>
        <v>0.11650000000000001</v>
      </c>
      <c r="J25" s="223"/>
      <c r="K25" s="313">
        <f t="shared" si="2"/>
        <v>0</v>
      </c>
      <c r="L25" s="332">
        <f t="shared" si="3"/>
        <v>0</v>
      </c>
      <c r="M25" s="378"/>
    </row>
    <row r="26" spans="1:14" s="331" customFormat="1" x14ac:dyDescent="0.3">
      <c r="A26" s="315">
        <f t="shared" si="4"/>
        <v>46224</v>
      </c>
      <c r="B26" s="380"/>
      <c r="C26" s="381"/>
      <c r="D26" s="381"/>
      <c r="E26" s="381">
        <f t="shared" si="0"/>
        <v>0</v>
      </c>
      <c r="G26" s="15">
        <v>5.0000000000000001E-3</v>
      </c>
      <c r="H26" s="336">
        <v>0.1115</v>
      </c>
      <c r="I26" s="383">
        <f t="shared" si="1"/>
        <v>0.11650000000000001</v>
      </c>
      <c r="J26" s="384"/>
      <c r="K26" s="313">
        <f t="shared" si="2"/>
        <v>0</v>
      </c>
      <c r="L26" s="332">
        <f t="shared" si="3"/>
        <v>0</v>
      </c>
      <c r="M26" s="378"/>
    </row>
    <row r="27" spans="1:14" s="331" customFormat="1" x14ac:dyDescent="0.3">
      <c r="A27" s="315">
        <f t="shared" si="4"/>
        <v>46225</v>
      </c>
      <c r="B27" s="380"/>
      <c r="C27" s="381"/>
      <c r="D27" s="381"/>
      <c r="E27" s="381">
        <f t="shared" si="0"/>
        <v>0</v>
      </c>
      <c r="G27" s="15">
        <v>5.0000000000000001E-3</v>
      </c>
      <c r="H27" s="336">
        <v>0.1115</v>
      </c>
      <c r="I27" s="383">
        <f t="shared" si="1"/>
        <v>0.11650000000000001</v>
      </c>
      <c r="J27" s="384"/>
      <c r="K27" s="385">
        <f t="shared" si="2"/>
        <v>0</v>
      </c>
      <c r="L27" s="332">
        <f t="shared" si="3"/>
        <v>0</v>
      </c>
      <c r="M27" s="378"/>
    </row>
    <row r="28" spans="1:14" x14ac:dyDescent="0.3">
      <c r="A28" s="315">
        <f t="shared" si="4"/>
        <v>46226</v>
      </c>
      <c r="B28" s="380"/>
      <c r="C28" s="381"/>
      <c r="D28" s="381"/>
      <c r="E28" s="381">
        <f t="shared" si="0"/>
        <v>0</v>
      </c>
      <c r="F28" s="331"/>
      <c r="G28" s="15">
        <v>5.0000000000000001E-3</v>
      </c>
      <c r="H28" s="336">
        <v>0.1115</v>
      </c>
      <c r="I28" s="383">
        <f t="shared" si="1"/>
        <v>0.11650000000000001</v>
      </c>
      <c r="J28" s="384"/>
      <c r="K28" s="385">
        <f t="shared" si="2"/>
        <v>0</v>
      </c>
      <c r="L28" s="332">
        <f t="shared" si="3"/>
        <v>0</v>
      </c>
    </row>
    <row r="29" spans="1:14" x14ac:dyDescent="0.3">
      <c r="A29" s="315">
        <f t="shared" si="4"/>
        <v>46227</v>
      </c>
      <c r="B29" s="380">
        <v>0</v>
      </c>
      <c r="C29" s="381"/>
      <c r="D29" s="381"/>
      <c r="E29" s="381">
        <f t="shared" si="0"/>
        <v>0</v>
      </c>
      <c r="F29" s="331"/>
      <c r="G29" s="15">
        <v>5.0000000000000001E-3</v>
      </c>
      <c r="H29" s="336">
        <v>0.1115</v>
      </c>
      <c r="I29" s="383">
        <f t="shared" si="1"/>
        <v>0.11650000000000001</v>
      </c>
      <c r="J29" s="384"/>
      <c r="K29" s="385">
        <f t="shared" si="2"/>
        <v>0</v>
      </c>
      <c r="L29" s="332">
        <f t="shared" si="3"/>
        <v>0</v>
      </c>
    </row>
    <row r="30" spans="1:14" x14ac:dyDescent="0.3">
      <c r="A30" s="315">
        <f t="shared" si="4"/>
        <v>46228</v>
      </c>
      <c r="B30" s="380">
        <v>0</v>
      </c>
      <c r="C30" s="381"/>
      <c r="D30" s="381"/>
      <c r="E30" s="381">
        <f t="shared" si="0"/>
        <v>0</v>
      </c>
      <c r="F30" s="331"/>
      <c r="G30" s="15">
        <v>5.0000000000000001E-3</v>
      </c>
      <c r="H30" s="336">
        <v>0.1115</v>
      </c>
      <c r="I30" s="383">
        <f t="shared" si="1"/>
        <v>0.11650000000000001</v>
      </c>
      <c r="J30" s="384"/>
      <c r="K30" s="385">
        <f t="shared" si="2"/>
        <v>0</v>
      </c>
      <c r="L30" s="332">
        <f t="shared" si="3"/>
        <v>0</v>
      </c>
    </row>
    <row r="31" spans="1:14" x14ac:dyDescent="0.3">
      <c r="A31" s="315">
        <f t="shared" si="4"/>
        <v>46229</v>
      </c>
      <c r="B31" s="380">
        <v>0</v>
      </c>
      <c r="C31" s="381"/>
      <c r="D31" s="381"/>
      <c r="E31" s="381">
        <f t="shared" si="0"/>
        <v>0</v>
      </c>
      <c r="F31" s="331"/>
      <c r="G31" s="15">
        <v>5.0000000000000001E-3</v>
      </c>
      <c r="H31" s="336">
        <v>0.1115</v>
      </c>
      <c r="I31" s="383">
        <f t="shared" si="1"/>
        <v>0.11650000000000001</v>
      </c>
      <c r="J31" s="384"/>
      <c r="K31" s="385">
        <f t="shared" si="2"/>
        <v>0</v>
      </c>
      <c r="L31" s="332">
        <f t="shared" si="3"/>
        <v>0</v>
      </c>
    </row>
    <row r="32" spans="1:14" x14ac:dyDescent="0.3">
      <c r="A32" s="315">
        <f t="shared" si="4"/>
        <v>46230</v>
      </c>
      <c r="B32" s="380">
        <v>0</v>
      </c>
      <c r="C32" s="381"/>
      <c r="D32" s="381"/>
      <c r="E32" s="381">
        <f t="shared" si="0"/>
        <v>0</v>
      </c>
      <c r="F32" s="331"/>
      <c r="G32" s="15">
        <v>5.0000000000000001E-3</v>
      </c>
      <c r="H32" s="336">
        <v>0.1115</v>
      </c>
      <c r="I32" s="383">
        <f t="shared" si="1"/>
        <v>0.11650000000000001</v>
      </c>
      <c r="J32" s="384"/>
      <c r="K32" s="385">
        <f t="shared" si="2"/>
        <v>0</v>
      </c>
      <c r="L32" s="332">
        <f t="shared" si="3"/>
        <v>0</v>
      </c>
    </row>
    <row r="33" spans="1:14" x14ac:dyDescent="0.3">
      <c r="A33" s="315">
        <f t="shared" si="4"/>
        <v>46231</v>
      </c>
      <c r="B33" s="380">
        <v>0</v>
      </c>
      <c r="C33" s="381"/>
      <c r="D33" s="381"/>
      <c r="E33" s="381">
        <f>SUM(B33:D33)</f>
        <v>0</v>
      </c>
      <c r="F33" s="331"/>
      <c r="G33" s="15">
        <v>5.0000000000000001E-3</v>
      </c>
      <c r="H33" s="336">
        <v>0.1115</v>
      </c>
      <c r="I33" s="383">
        <f>+H33+G33</f>
        <v>0.11650000000000001</v>
      </c>
      <c r="J33" s="384"/>
      <c r="K33" s="385">
        <f>E33*I33/365</f>
        <v>0</v>
      </c>
      <c r="L33" s="332">
        <f t="shared" si="3"/>
        <v>0</v>
      </c>
    </row>
    <row r="34" spans="1:14" x14ac:dyDescent="0.3">
      <c r="A34" s="315">
        <f t="shared" si="4"/>
        <v>46232</v>
      </c>
      <c r="B34" s="380">
        <v>0</v>
      </c>
      <c r="C34" s="381"/>
      <c r="D34" s="381"/>
      <c r="E34" s="381">
        <f>SUM(B34:D34)</f>
        <v>0</v>
      </c>
      <c r="F34" s="331"/>
      <c r="G34" s="15">
        <v>5.0000000000000001E-3</v>
      </c>
      <c r="H34" s="336">
        <v>0.1115</v>
      </c>
      <c r="I34" s="383">
        <f>+H34+G34</f>
        <v>0.11650000000000001</v>
      </c>
      <c r="J34" s="384"/>
      <c r="K34" s="385">
        <f>E34*I34/365</f>
        <v>0</v>
      </c>
      <c r="L34" s="332">
        <f t="shared" si="3"/>
        <v>0</v>
      </c>
    </row>
    <row r="35" spans="1:14" x14ac:dyDescent="0.3">
      <c r="A35" s="315">
        <f t="shared" si="4"/>
        <v>46233</v>
      </c>
      <c r="B35" s="380">
        <v>0</v>
      </c>
      <c r="C35" s="381"/>
      <c r="D35" s="381"/>
      <c r="E35" s="381">
        <f>SUM(B35:D35)</f>
        <v>0</v>
      </c>
      <c r="F35" s="331"/>
      <c r="G35" s="15">
        <v>5.0000000000000001E-3</v>
      </c>
      <c r="H35" s="336">
        <v>0.1115</v>
      </c>
      <c r="I35" s="383">
        <f>+H35+G35</f>
        <v>0.11650000000000001</v>
      </c>
      <c r="J35" s="384"/>
      <c r="K35" s="385">
        <f>E35*I35/365</f>
        <v>0</v>
      </c>
      <c r="L35" s="332">
        <f t="shared" ref="L35" si="5">+E35-E34</f>
        <v>0</v>
      </c>
    </row>
    <row r="36" spans="1:14" x14ac:dyDescent="0.3">
      <c r="A36" s="315">
        <f t="shared" si="4"/>
        <v>46234</v>
      </c>
      <c r="B36" s="380">
        <v>0</v>
      </c>
      <c r="C36" s="381"/>
      <c r="D36" s="381"/>
      <c r="E36" s="381">
        <f>SUM(B36:D36)</f>
        <v>0</v>
      </c>
      <c r="F36" s="331"/>
      <c r="G36" s="15">
        <v>5.0000000000000001E-3</v>
      </c>
      <c r="H36" s="336">
        <v>0.1115</v>
      </c>
      <c r="I36" s="383">
        <f>+H36+G36</f>
        <v>0.11650000000000001</v>
      </c>
      <c r="J36" s="384"/>
      <c r="K36" s="385">
        <f>E36*I36/365</f>
        <v>0</v>
      </c>
      <c r="L36" s="332">
        <f t="shared" ref="L36" si="6">+E36-E35</f>
        <v>0</v>
      </c>
    </row>
    <row r="37" spans="1:14" x14ac:dyDescent="0.3">
      <c r="B37" s="725">
        <v>1006536.84</v>
      </c>
      <c r="E37" s="2">
        <f>SUM(B37:D37)</f>
        <v>1006536.84</v>
      </c>
      <c r="G37" s="100"/>
      <c r="H37" s="40"/>
      <c r="I37" s="20"/>
      <c r="K37" s="19">
        <f>SUM(K6:K36)</f>
        <v>0</v>
      </c>
      <c r="M37" s="728"/>
    </row>
    <row r="38" spans="1:14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  <c r="K38" s="940"/>
    </row>
    <row r="39" spans="1:14" x14ac:dyDescent="0.3">
      <c r="G39" s="965" t="s">
        <v>22</v>
      </c>
      <c r="H39" s="965"/>
      <c r="I39" s="965"/>
      <c r="J39" s="218"/>
    </row>
    <row r="40" spans="1:14" x14ac:dyDescent="0.3">
      <c r="G40" s="21"/>
      <c r="H40" s="21"/>
      <c r="I40" s="21"/>
      <c r="J40" s="212"/>
      <c r="K40" s="214" t="s">
        <v>0</v>
      </c>
    </row>
    <row r="41" spans="1:14" ht="15.6" x14ac:dyDescent="0.3">
      <c r="A41" s="311" t="s">
        <v>262</v>
      </c>
      <c r="B41" s="346" t="s">
        <v>67</v>
      </c>
      <c r="G41" s="968" t="s">
        <v>15</v>
      </c>
      <c r="H41" s="968"/>
      <c r="I41" s="968"/>
      <c r="J41" s="982"/>
      <c r="K41" s="219">
        <v>919243.32805819192</v>
      </c>
      <c r="L41" s="259"/>
      <c r="M41" s="378"/>
      <c r="N41" s="378"/>
    </row>
    <row r="42" spans="1:14" ht="17.399999999999999" x14ac:dyDescent="0.3">
      <c r="G42" s="968" t="s">
        <v>308</v>
      </c>
      <c r="H42" s="968"/>
      <c r="I42" s="968"/>
      <c r="J42" s="982"/>
      <c r="K42" s="334"/>
      <c r="L42" s="707"/>
      <c r="M42" s="378"/>
      <c r="N42" s="378"/>
    </row>
    <row r="43" spans="1:14" x14ac:dyDescent="0.3">
      <c r="B43" s="3"/>
      <c r="D43" s="3"/>
      <c r="G43" s="973" t="str">
        <f>IF(K43&lt;0,"Excess Provision to be Reversed","Additional Provision Required")</f>
        <v>Additional Provision Required</v>
      </c>
      <c r="H43" s="973"/>
      <c r="I43" s="973"/>
      <c r="J43" s="989"/>
      <c r="K43" s="233">
        <f>IF(K42=0,0,K42-K41)</f>
        <v>0</v>
      </c>
      <c r="M43" s="416"/>
    </row>
    <row r="44" spans="1:14" x14ac:dyDescent="0.3">
      <c r="G44" s="966"/>
      <c r="H44" s="966"/>
      <c r="I44" s="966"/>
      <c r="J44" s="966"/>
      <c r="K44" s="966"/>
      <c r="M44" s="416"/>
    </row>
    <row r="45" spans="1:14" ht="16.2" customHeight="1" thickBot="1" x14ac:dyDescent="0.35">
      <c r="G45" s="974" t="s">
        <v>199</v>
      </c>
      <c r="H45" s="974"/>
      <c r="I45" s="974"/>
      <c r="J45" s="990"/>
      <c r="K45" s="217">
        <f>K37+K43</f>
        <v>0</v>
      </c>
    </row>
    <row r="46" spans="1:14" x14ac:dyDescent="0.3">
      <c r="G46" s="967"/>
      <c r="H46" s="967"/>
      <c r="I46" s="967"/>
      <c r="J46" s="967"/>
      <c r="K46" s="967"/>
    </row>
    <row r="47" spans="1:14" x14ac:dyDescent="0.3">
      <c r="G47" s="991" t="s">
        <v>31</v>
      </c>
      <c r="H47" s="991"/>
      <c r="I47" s="991"/>
      <c r="J47" s="992"/>
      <c r="K47" s="219">
        <f>K41+K45-K42</f>
        <v>919243.32805819192</v>
      </c>
    </row>
    <row r="49" spans="7:11" x14ac:dyDescent="0.3">
      <c r="G49" s="254"/>
      <c r="H49" s="254"/>
      <c r="I49" s="254"/>
      <c r="J49" s="255"/>
      <c r="K49" s="254"/>
    </row>
  </sheetData>
  <autoFilter ref="A1:L37" xr:uid="{9EB2D2B1-3D86-4EB4-9224-FC0E805B5D37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0">
    <mergeCell ref="G42:J42"/>
    <mergeCell ref="G43:J43"/>
    <mergeCell ref="G45:J45"/>
    <mergeCell ref="G47:J47"/>
    <mergeCell ref="G44:K44"/>
    <mergeCell ref="G46:K46"/>
    <mergeCell ref="A1:K1"/>
    <mergeCell ref="A2:J2"/>
    <mergeCell ref="A3:K3"/>
    <mergeCell ref="G39:I39"/>
    <mergeCell ref="A38:K38"/>
    <mergeCell ref="H4:H5"/>
    <mergeCell ref="K4:K5"/>
    <mergeCell ref="J4:J5"/>
    <mergeCell ref="G41:J41"/>
    <mergeCell ref="A4:A5"/>
    <mergeCell ref="B4:B5"/>
    <mergeCell ref="E4:E5"/>
    <mergeCell ref="G4:G5"/>
    <mergeCell ref="I4:I5"/>
  </mergeCells>
  <printOptions horizontalCentered="1" verticalCentered="1"/>
  <pageMargins left="0.75" right="0.75" top="0.5" bottom="0.5" header="0.5" footer="0.5"/>
  <pageSetup scale="71" orientation="landscape" r:id="rId1"/>
  <headerFooter alignWithMargins="0"/>
  <ignoredErrors>
    <ignoredError sqref="E6:E24 E25:E26 E28:E31 E32 E27" formulaRange="1"/>
  </ignoredError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15F9-1D9A-4C40-B335-0DF417A4FDD9}">
  <sheetPr>
    <tabColor theme="0"/>
    <pageSetUpPr fitToPage="1"/>
  </sheetPr>
  <dimension ref="A1:J91"/>
  <sheetViews>
    <sheetView showGridLines="0" view="pageBreakPreview" topLeftCell="A68" zoomScaleNormal="99" zoomScaleSheetLayoutView="100" workbookViewId="0">
      <selection activeCell="B75" sqref="B75:E75"/>
    </sheetView>
  </sheetViews>
  <sheetFormatPr defaultColWidth="8.90625" defaultRowHeight="13.8" x14ac:dyDescent="0.3"/>
  <cols>
    <col min="1" max="1" width="16.1796875" style="3" customWidth="1"/>
    <col min="2" max="5" width="14" style="31" customWidth="1"/>
    <col min="6" max="6" width="13.6328125" style="3" customWidth="1"/>
    <col min="7" max="7" width="12.81640625" style="331" bestFit="1" customWidth="1"/>
    <col min="8" max="8" width="11.08984375" style="3" bestFit="1" customWidth="1"/>
    <col min="9" max="9" width="6.90625" style="3" customWidth="1"/>
    <col min="10" max="10" width="9.08984375" style="3" bestFit="1" customWidth="1"/>
    <col min="11" max="16384" width="8.90625" style="3"/>
  </cols>
  <sheetData>
    <row r="1" spans="1:10" ht="18" x14ac:dyDescent="0.35">
      <c r="A1" s="7" t="s">
        <v>35</v>
      </c>
      <c r="B1" s="196"/>
      <c r="C1" s="196"/>
      <c r="D1" s="196"/>
      <c r="E1" s="196"/>
      <c r="F1" s="2"/>
      <c r="G1" s="332"/>
    </row>
    <row r="2" spans="1:10" ht="18.600000000000001" thickBot="1" x14ac:dyDescent="0.4">
      <c r="A2" s="8" t="s">
        <v>165</v>
      </c>
      <c r="B2" s="72"/>
      <c r="C2" s="72"/>
      <c r="D2" s="72"/>
      <c r="E2" s="72"/>
      <c r="F2" s="27">
        <f>'FINANCIAL COST SUMMARY'!K2</f>
        <v>46204</v>
      </c>
      <c r="G2" s="406"/>
    </row>
    <row r="3" spans="1:10" x14ac:dyDescent="0.3">
      <c r="A3" s="4"/>
      <c r="B3" s="197"/>
      <c r="C3" s="197"/>
      <c r="D3" s="197"/>
      <c r="E3" s="197"/>
      <c r="F3" s="49"/>
      <c r="G3" s="493"/>
    </row>
    <row r="4" spans="1:10" x14ac:dyDescent="0.3">
      <c r="A4" s="943" t="s">
        <v>19</v>
      </c>
      <c r="B4" s="943"/>
      <c r="C4" s="943"/>
      <c r="D4" s="943"/>
      <c r="E4" s="943"/>
      <c r="F4" s="943"/>
      <c r="G4" s="408"/>
    </row>
    <row r="5" spans="1:10" s="75" customFormat="1" ht="54.6" customHeight="1" x14ac:dyDescent="0.25">
      <c r="A5" s="51" t="s">
        <v>2</v>
      </c>
      <c r="B5" s="394" t="s">
        <v>390</v>
      </c>
      <c r="C5" s="394" t="s">
        <v>391</v>
      </c>
      <c r="D5" s="394" t="s">
        <v>392</v>
      </c>
      <c r="E5" s="394" t="s">
        <v>431</v>
      </c>
      <c r="F5" s="46" t="s">
        <v>0</v>
      </c>
      <c r="G5" s="494"/>
    </row>
    <row r="6" spans="1:10" x14ac:dyDescent="0.3">
      <c r="A6" s="6">
        <v>46204</v>
      </c>
      <c r="B6" s="54">
        <f t="shared" ref="B6:B18" si="0">43650*280.25</f>
        <v>12232912.5</v>
      </c>
      <c r="C6" s="54">
        <f t="shared" ref="C6:C23" si="1">37410*280</f>
        <v>10474800</v>
      </c>
      <c r="D6" s="54">
        <f t="shared" ref="D6:D26" si="2">44800*279.8</f>
        <v>12535040</v>
      </c>
      <c r="E6" s="54">
        <f t="shared" ref="E6:E8" si="3">26460*279.75</f>
        <v>7402185</v>
      </c>
      <c r="F6" s="5">
        <f>SUM(B6:E6)</f>
        <v>42644937.5</v>
      </c>
      <c r="G6" s="492"/>
      <c r="H6" s="76">
        <v>46177</v>
      </c>
      <c r="I6" s="3">
        <v>180</v>
      </c>
      <c r="J6" s="76">
        <f>+H6+I6</f>
        <v>46357</v>
      </c>
    </row>
    <row r="7" spans="1:10" x14ac:dyDescent="0.3">
      <c r="A7" s="6">
        <f>+A6+1</f>
        <v>46205</v>
      </c>
      <c r="B7" s="54">
        <f t="shared" si="0"/>
        <v>12232912.5</v>
      </c>
      <c r="C7" s="54">
        <f t="shared" si="1"/>
        <v>10474800</v>
      </c>
      <c r="D7" s="54">
        <f t="shared" si="2"/>
        <v>12535040</v>
      </c>
      <c r="E7" s="54">
        <f t="shared" si="3"/>
        <v>7402185</v>
      </c>
      <c r="F7" s="5">
        <f t="shared" ref="F7:F34" si="4">SUM(B7:E7)</f>
        <v>42644937.5</v>
      </c>
      <c r="G7" s="492"/>
      <c r="H7" s="76"/>
    </row>
    <row r="8" spans="1:10" x14ac:dyDescent="0.3">
      <c r="A8" s="6">
        <f t="shared" ref="A8:A36" si="5">+A7+1</f>
        <v>46206</v>
      </c>
      <c r="B8" s="54">
        <f t="shared" si="0"/>
        <v>12232912.5</v>
      </c>
      <c r="C8" s="54">
        <f t="shared" si="1"/>
        <v>10474800</v>
      </c>
      <c r="D8" s="54">
        <f t="shared" si="2"/>
        <v>12535040</v>
      </c>
      <c r="E8" s="54">
        <f t="shared" si="3"/>
        <v>7402185</v>
      </c>
      <c r="F8" s="5">
        <f t="shared" si="4"/>
        <v>42644937.5</v>
      </c>
      <c r="G8" s="492"/>
      <c r="J8" s="34"/>
    </row>
    <row r="9" spans="1:10" x14ac:dyDescent="0.3">
      <c r="A9" s="6">
        <f t="shared" si="5"/>
        <v>46207</v>
      </c>
      <c r="B9" s="54">
        <f t="shared" si="0"/>
        <v>12232912.5</v>
      </c>
      <c r="C9" s="54">
        <f t="shared" si="1"/>
        <v>10474800</v>
      </c>
      <c r="D9" s="54">
        <f t="shared" si="2"/>
        <v>12535040</v>
      </c>
      <c r="E9" s="54">
        <f>26460*279.75</f>
        <v>7402185</v>
      </c>
      <c r="F9" s="5">
        <f t="shared" si="4"/>
        <v>42644937.5</v>
      </c>
      <c r="G9" s="492"/>
    </row>
    <row r="10" spans="1:10" x14ac:dyDescent="0.3">
      <c r="A10" s="6">
        <f t="shared" si="5"/>
        <v>46208</v>
      </c>
      <c r="B10" s="54">
        <f t="shared" si="0"/>
        <v>12232912.5</v>
      </c>
      <c r="C10" s="54">
        <f t="shared" si="1"/>
        <v>10474800</v>
      </c>
      <c r="D10" s="54">
        <f t="shared" si="2"/>
        <v>12535040</v>
      </c>
      <c r="E10" s="54">
        <f t="shared" ref="E10:E36" si="6">26460*279.75</f>
        <v>7402185</v>
      </c>
      <c r="F10" s="5">
        <f t="shared" si="4"/>
        <v>42644937.5</v>
      </c>
      <c r="G10" s="492"/>
      <c r="H10" s="331"/>
    </row>
    <row r="11" spans="1:10" x14ac:dyDescent="0.3">
      <c r="A11" s="6">
        <f t="shared" si="5"/>
        <v>46209</v>
      </c>
      <c r="B11" s="54">
        <f t="shared" si="0"/>
        <v>12232912.5</v>
      </c>
      <c r="C11" s="54">
        <f t="shared" si="1"/>
        <v>10474800</v>
      </c>
      <c r="D11" s="54">
        <f t="shared" si="2"/>
        <v>12535040</v>
      </c>
      <c r="E11" s="54">
        <f t="shared" si="6"/>
        <v>7402185</v>
      </c>
      <c r="F11" s="5">
        <f t="shared" si="4"/>
        <v>42644937.5</v>
      </c>
      <c r="G11" s="492"/>
      <c r="H11" s="34"/>
      <c r="I11" s="34"/>
    </row>
    <row r="12" spans="1:10" x14ac:dyDescent="0.3">
      <c r="A12" s="6">
        <f t="shared" si="5"/>
        <v>46210</v>
      </c>
      <c r="B12" s="54">
        <f t="shared" si="0"/>
        <v>12232912.5</v>
      </c>
      <c r="C12" s="54">
        <f t="shared" si="1"/>
        <v>10474800</v>
      </c>
      <c r="D12" s="54">
        <f t="shared" si="2"/>
        <v>12535040</v>
      </c>
      <c r="E12" s="54">
        <f t="shared" si="6"/>
        <v>7402185</v>
      </c>
      <c r="F12" s="5">
        <f t="shared" si="4"/>
        <v>42644937.5</v>
      </c>
      <c r="G12" s="492"/>
      <c r="H12" s="76"/>
      <c r="I12" s="2"/>
    </row>
    <row r="13" spans="1:10" x14ac:dyDescent="0.3">
      <c r="A13" s="315">
        <f t="shared" si="5"/>
        <v>46211</v>
      </c>
      <c r="B13" s="54">
        <f t="shared" si="0"/>
        <v>12232912.5</v>
      </c>
      <c r="C13" s="54">
        <f t="shared" si="1"/>
        <v>10474800</v>
      </c>
      <c r="D13" s="54">
        <f t="shared" si="2"/>
        <v>12535040</v>
      </c>
      <c r="E13" s="54">
        <f t="shared" si="6"/>
        <v>7402185</v>
      </c>
      <c r="F13" s="5">
        <f t="shared" si="4"/>
        <v>42644937.5</v>
      </c>
      <c r="G13" s="492"/>
    </row>
    <row r="14" spans="1:10" x14ac:dyDescent="0.3">
      <c r="A14" s="315">
        <f t="shared" si="5"/>
        <v>46212</v>
      </c>
      <c r="B14" s="54">
        <f t="shared" si="0"/>
        <v>12232912.5</v>
      </c>
      <c r="C14" s="54">
        <f t="shared" si="1"/>
        <v>10474800</v>
      </c>
      <c r="D14" s="54">
        <f t="shared" si="2"/>
        <v>12535040</v>
      </c>
      <c r="E14" s="54">
        <f t="shared" si="6"/>
        <v>7402185</v>
      </c>
      <c r="F14" s="5">
        <f t="shared" si="4"/>
        <v>42644937.5</v>
      </c>
      <c r="G14" s="492"/>
    </row>
    <row r="15" spans="1:10" x14ac:dyDescent="0.3">
      <c r="A15" s="315">
        <f t="shared" si="5"/>
        <v>46213</v>
      </c>
      <c r="B15" s="54">
        <f t="shared" si="0"/>
        <v>12232912.5</v>
      </c>
      <c r="C15" s="54">
        <f t="shared" si="1"/>
        <v>10474800</v>
      </c>
      <c r="D15" s="54">
        <f t="shared" si="2"/>
        <v>12535040</v>
      </c>
      <c r="E15" s="54">
        <f t="shared" si="6"/>
        <v>7402185</v>
      </c>
      <c r="F15" s="5">
        <f t="shared" si="4"/>
        <v>42644937.5</v>
      </c>
      <c r="G15" s="492"/>
    </row>
    <row r="16" spans="1:10" x14ac:dyDescent="0.3">
      <c r="A16" s="315">
        <f t="shared" si="5"/>
        <v>46214</v>
      </c>
      <c r="B16" s="54">
        <f t="shared" si="0"/>
        <v>12232912.5</v>
      </c>
      <c r="C16" s="54">
        <f t="shared" si="1"/>
        <v>10474800</v>
      </c>
      <c r="D16" s="54">
        <f t="shared" si="2"/>
        <v>12535040</v>
      </c>
      <c r="E16" s="54">
        <f t="shared" si="6"/>
        <v>7402185</v>
      </c>
      <c r="F16" s="5">
        <f t="shared" si="4"/>
        <v>42644937.5</v>
      </c>
      <c r="G16" s="492"/>
    </row>
    <row r="17" spans="1:7" x14ac:dyDescent="0.3">
      <c r="A17" s="6">
        <f t="shared" si="5"/>
        <v>46215</v>
      </c>
      <c r="B17" s="54">
        <f t="shared" si="0"/>
        <v>12232912.5</v>
      </c>
      <c r="C17" s="54">
        <f t="shared" si="1"/>
        <v>10474800</v>
      </c>
      <c r="D17" s="54">
        <f t="shared" si="2"/>
        <v>12535040</v>
      </c>
      <c r="E17" s="54">
        <f t="shared" si="6"/>
        <v>7402185</v>
      </c>
      <c r="F17" s="5">
        <f t="shared" si="4"/>
        <v>42644937.5</v>
      </c>
      <c r="G17" s="492"/>
    </row>
    <row r="18" spans="1:7" x14ac:dyDescent="0.3">
      <c r="A18" s="6">
        <f t="shared" si="5"/>
        <v>46216</v>
      </c>
      <c r="B18" s="54">
        <f t="shared" si="0"/>
        <v>12232912.5</v>
      </c>
      <c r="C18" s="54">
        <f t="shared" si="1"/>
        <v>10474800</v>
      </c>
      <c r="D18" s="54">
        <f t="shared" si="2"/>
        <v>12535040</v>
      </c>
      <c r="E18" s="54">
        <f t="shared" si="6"/>
        <v>7402185</v>
      </c>
      <c r="F18" s="5">
        <f t="shared" si="4"/>
        <v>42644937.5</v>
      </c>
      <c r="G18" s="492"/>
    </row>
    <row r="19" spans="1:7" s="31" customFormat="1" x14ac:dyDescent="0.3">
      <c r="A19" s="312">
        <f t="shared" si="5"/>
        <v>46217</v>
      </c>
      <c r="B19" s="54">
        <f>43650*280.25</f>
        <v>12232912.5</v>
      </c>
      <c r="C19" s="54">
        <f t="shared" si="1"/>
        <v>10474800</v>
      </c>
      <c r="D19" s="54">
        <f t="shared" si="2"/>
        <v>12535040</v>
      </c>
      <c r="E19" s="54">
        <f t="shared" si="6"/>
        <v>7402185</v>
      </c>
      <c r="F19" s="5">
        <f t="shared" si="4"/>
        <v>42644937.5</v>
      </c>
      <c r="G19" s="492"/>
    </row>
    <row r="20" spans="1:7" x14ac:dyDescent="0.3">
      <c r="A20" s="315">
        <f t="shared" si="5"/>
        <v>46218</v>
      </c>
      <c r="B20" s="54">
        <f t="shared" ref="B20:B36" si="7">43650*280.25</f>
        <v>12232912.5</v>
      </c>
      <c r="C20" s="54">
        <f t="shared" si="1"/>
        <v>10474800</v>
      </c>
      <c r="D20" s="54">
        <f t="shared" si="2"/>
        <v>12535040</v>
      </c>
      <c r="E20" s="54">
        <f t="shared" si="6"/>
        <v>7402185</v>
      </c>
      <c r="F20" s="5">
        <f t="shared" si="4"/>
        <v>42644937.5</v>
      </c>
      <c r="G20" s="492"/>
    </row>
    <row r="21" spans="1:7" x14ac:dyDescent="0.3">
      <c r="A21" s="6">
        <f t="shared" si="5"/>
        <v>46219</v>
      </c>
      <c r="B21" s="54">
        <f t="shared" si="7"/>
        <v>12232912.5</v>
      </c>
      <c r="C21" s="54">
        <f t="shared" si="1"/>
        <v>10474800</v>
      </c>
      <c r="D21" s="54">
        <f t="shared" si="2"/>
        <v>12535040</v>
      </c>
      <c r="E21" s="54">
        <f t="shared" si="6"/>
        <v>7402185</v>
      </c>
      <c r="F21" s="5">
        <f t="shared" si="4"/>
        <v>42644937.5</v>
      </c>
      <c r="G21" s="492"/>
    </row>
    <row r="22" spans="1:7" x14ac:dyDescent="0.3">
      <c r="A22" s="6">
        <f t="shared" si="5"/>
        <v>46220</v>
      </c>
      <c r="B22" s="54">
        <f t="shared" si="7"/>
        <v>12232912.5</v>
      </c>
      <c r="C22" s="54">
        <f t="shared" si="1"/>
        <v>10474800</v>
      </c>
      <c r="D22" s="54">
        <f t="shared" si="2"/>
        <v>12535040</v>
      </c>
      <c r="E22" s="54">
        <f t="shared" si="6"/>
        <v>7402185</v>
      </c>
      <c r="F22" s="5">
        <f t="shared" si="4"/>
        <v>42644937.5</v>
      </c>
      <c r="G22" s="492"/>
    </row>
    <row r="23" spans="1:7" x14ac:dyDescent="0.3">
      <c r="A23" s="6">
        <f t="shared" si="5"/>
        <v>46221</v>
      </c>
      <c r="B23" s="54">
        <f t="shared" si="7"/>
        <v>12232912.5</v>
      </c>
      <c r="C23" s="54">
        <f t="shared" si="1"/>
        <v>10474800</v>
      </c>
      <c r="D23" s="54">
        <f t="shared" si="2"/>
        <v>12535040</v>
      </c>
      <c r="E23" s="54">
        <f t="shared" si="6"/>
        <v>7402185</v>
      </c>
      <c r="F23" s="5">
        <f t="shared" si="4"/>
        <v>42644937.5</v>
      </c>
      <c r="G23" s="492"/>
    </row>
    <row r="24" spans="1:7" x14ac:dyDescent="0.3">
      <c r="A24" s="6">
        <f t="shared" si="5"/>
        <v>46222</v>
      </c>
      <c r="B24" s="54">
        <f t="shared" si="7"/>
        <v>12232912.5</v>
      </c>
      <c r="C24" s="54">
        <f>37410*280</f>
        <v>10474800</v>
      </c>
      <c r="D24" s="54">
        <f t="shared" si="2"/>
        <v>12535040</v>
      </c>
      <c r="E24" s="54">
        <f t="shared" si="6"/>
        <v>7402185</v>
      </c>
      <c r="F24" s="5">
        <f t="shared" si="4"/>
        <v>42644937.5</v>
      </c>
      <c r="G24" s="492"/>
    </row>
    <row r="25" spans="1:7" x14ac:dyDescent="0.3">
      <c r="A25" s="6">
        <f t="shared" si="5"/>
        <v>46223</v>
      </c>
      <c r="B25" s="54">
        <f t="shared" si="7"/>
        <v>12232912.5</v>
      </c>
      <c r="C25" s="54">
        <f t="shared" ref="C25:C36" si="8">37410*280</f>
        <v>10474800</v>
      </c>
      <c r="D25" s="54">
        <f t="shared" si="2"/>
        <v>12535040</v>
      </c>
      <c r="E25" s="54">
        <f t="shared" si="6"/>
        <v>7402185</v>
      </c>
      <c r="F25" s="5">
        <f t="shared" si="4"/>
        <v>42644937.5</v>
      </c>
      <c r="G25" s="492"/>
    </row>
    <row r="26" spans="1:7" x14ac:dyDescent="0.3">
      <c r="A26" s="6">
        <f t="shared" si="5"/>
        <v>46224</v>
      </c>
      <c r="B26" s="54">
        <f t="shared" si="7"/>
        <v>12232912.5</v>
      </c>
      <c r="C26" s="54">
        <f t="shared" si="8"/>
        <v>10474800</v>
      </c>
      <c r="D26" s="54">
        <f t="shared" si="2"/>
        <v>12535040</v>
      </c>
      <c r="E26" s="54">
        <f t="shared" si="6"/>
        <v>7402185</v>
      </c>
      <c r="F26" s="5">
        <f t="shared" si="4"/>
        <v>42644937.5</v>
      </c>
      <c r="G26" s="492"/>
    </row>
    <row r="27" spans="1:7" x14ac:dyDescent="0.3">
      <c r="A27" s="6">
        <f t="shared" si="5"/>
        <v>46225</v>
      </c>
      <c r="B27" s="54">
        <f t="shared" si="7"/>
        <v>12232912.5</v>
      </c>
      <c r="C27" s="54">
        <f t="shared" si="8"/>
        <v>10474800</v>
      </c>
      <c r="D27" s="54">
        <f>44800*279.8</f>
        <v>12535040</v>
      </c>
      <c r="E27" s="54">
        <f t="shared" si="6"/>
        <v>7402185</v>
      </c>
      <c r="F27" s="5">
        <f t="shared" si="4"/>
        <v>42644937.5</v>
      </c>
      <c r="G27" s="492"/>
    </row>
    <row r="28" spans="1:7" x14ac:dyDescent="0.3">
      <c r="A28" s="6">
        <f t="shared" si="5"/>
        <v>46226</v>
      </c>
      <c r="B28" s="54">
        <f t="shared" si="7"/>
        <v>12232912.5</v>
      </c>
      <c r="C28" s="54">
        <f t="shared" si="8"/>
        <v>10474800</v>
      </c>
      <c r="D28" s="54">
        <f t="shared" ref="D28:D36" si="9">44800*279.8</f>
        <v>12535040</v>
      </c>
      <c r="E28" s="54">
        <f t="shared" si="6"/>
        <v>7402185</v>
      </c>
      <c r="F28" s="5">
        <f t="shared" si="4"/>
        <v>42644937.5</v>
      </c>
      <c r="G28" s="492"/>
    </row>
    <row r="29" spans="1:7" x14ac:dyDescent="0.3">
      <c r="A29" s="6">
        <f t="shared" si="5"/>
        <v>46227</v>
      </c>
      <c r="B29" s="54">
        <f t="shared" si="7"/>
        <v>12232912.5</v>
      </c>
      <c r="C29" s="54">
        <f t="shared" si="8"/>
        <v>10474800</v>
      </c>
      <c r="D29" s="54">
        <f t="shared" si="9"/>
        <v>12535040</v>
      </c>
      <c r="E29" s="54">
        <f t="shared" si="6"/>
        <v>7402185</v>
      </c>
      <c r="F29" s="5">
        <f t="shared" si="4"/>
        <v>42644937.5</v>
      </c>
      <c r="G29" s="492"/>
    </row>
    <row r="30" spans="1:7" x14ac:dyDescent="0.3">
      <c r="A30" s="6">
        <f t="shared" si="5"/>
        <v>46228</v>
      </c>
      <c r="B30" s="54">
        <f t="shared" si="7"/>
        <v>12232912.5</v>
      </c>
      <c r="C30" s="54">
        <f t="shared" si="8"/>
        <v>10474800</v>
      </c>
      <c r="D30" s="54">
        <f t="shared" si="9"/>
        <v>12535040</v>
      </c>
      <c r="E30" s="54">
        <f t="shared" si="6"/>
        <v>7402185</v>
      </c>
      <c r="F30" s="5">
        <f t="shared" si="4"/>
        <v>42644937.5</v>
      </c>
      <c r="G30" s="492"/>
    </row>
    <row r="31" spans="1:7" x14ac:dyDescent="0.3">
      <c r="A31" s="6">
        <f t="shared" si="5"/>
        <v>46229</v>
      </c>
      <c r="B31" s="54">
        <f t="shared" si="7"/>
        <v>12232912.5</v>
      </c>
      <c r="C31" s="54">
        <f t="shared" si="8"/>
        <v>10474800</v>
      </c>
      <c r="D31" s="54">
        <f t="shared" si="9"/>
        <v>12535040</v>
      </c>
      <c r="E31" s="54">
        <f t="shared" si="6"/>
        <v>7402185</v>
      </c>
      <c r="F31" s="5">
        <f t="shared" si="4"/>
        <v>42644937.5</v>
      </c>
      <c r="G31" s="492"/>
    </row>
    <row r="32" spans="1:7" x14ac:dyDescent="0.3">
      <c r="A32" s="6">
        <f t="shared" si="5"/>
        <v>46230</v>
      </c>
      <c r="B32" s="54">
        <f t="shared" si="7"/>
        <v>12232912.5</v>
      </c>
      <c r="C32" s="54">
        <f t="shared" si="8"/>
        <v>10474800</v>
      </c>
      <c r="D32" s="54">
        <f t="shared" si="9"/>
        <v>12535040</v>
      </c>
      <c r="E32" s="54">
        <f t="shared" si="6"/>
        <v>7402185</v>
      </c>
      <c r="F32" s="5">
        <f t="shared" si="4"/>
        <v>42644937.5</v>
      </c>
      <c r="G32" s="492"/>
    </row>
    <row r="33" spans="1:7" x14ac:dyDescent="0.3">
      <c r="A33" s="6">
        <f t="shared" si="5"/>
        <v>46231</v>
      </c>
      <c r="B33" s="54">
        <f t="shared" si="7"/>
        <v>12232912.5</v>
      </c>
      <c r="C33" s="54">
        <f t="shared" si="8"/>
        <v>10474800</v>
      </c>
      <c r="D33" s="54">
        <f t="shared" si="9"/>
        <v>12535040</v>
      </c>
      <c r="E33" s="54">
        <f t="shared" si="6"/>
        <v>7402185</v>
      </c>
      <c r="F33" s="5">
        <f t="shared" si="4"/>
        <v>42644937.5</v>
      </c>
      <c r="G33" s="492"/>
    </row>
    <row r="34" spans="1:7" x14ac:dyDescent="0.3">
      <c r="A34" s="6">
        <f t="shared" si="5"/>
        <v>46232</v>
      </c>
      <c r="B34" s="54">
        <f t="shared" si="7"/>
        <v>12232912.5</v>
      </c>
      <c r="C34" s="54">
        <f t="shared" si="8"/>
        <v>10474800</v>
      </c>
      <c r="D34" s="54">
        <f t="shared" si="9"/>
        <v>12535040</v>
      </c>
      <c r="E34" s="54">
        <f t="shared" si="6"/>
        <v>7402185</v>
      </c>
      <c r="F34" s="5">
        <f t="shared" si="4"/>
        <v>42644937.5</v>
      </c>
      <c r="G34" s="492"/>
    </row>
    <row r="35" spans="1:7" x14ac:dyDescent="0.3">
      <c r="A35" s="6">
        <f t="shared" si="5"/>
        <v>46233</v>
      </c>
      <c r="B35" s="54">
        <f t="shared" si="7"/>
        <v>12232912.5</v>
      </c>
      <c r="C35" s="54">
        <f t="shared" si="8"/>
        <v>10474800</v>
      </c>
      <c r="D35" s="54">
        <f t="shared" si="9"/>
        <v>12535040</v>
      </c>
      <c r="E35" s="54">
        <f t="shared" si="6"/>
        <v>7402185</v>
      </c>
      <c r="F35" s="5">
        <f t="shared" ref="F35" si="10">SUM(B35:E35)</f>
        <v>42644937.5</v>
      </c>
      <c r="G35" s="492"/>
    </row>
    <row r="36" spans="1:7" x14ac:dyDescent="0.3">
      <c r="A36" s="6">
        <f t="shared" si="5"/>
        <v>46234</v>
      </c>
      <c r="B36" s="54">
        <f t="shared" si="7"/>
        <v>12232912.5</v>
      </c>
      <c r="C36" s="54">
        <f t="shared" si="8"/>
        <v>10474800</v>
      </c>
      <c r="D36" s="54">
        <f t="shared" si="9"/>
        <v>12535040</v>
      </c>
      <c r="E36" s="54">
        <f t="shared" si="6"/>
        <v>7402185</v>
      </c>
      <c r="F36" s="5">
        <f t="shared" ref="F36" si="11">SUM(B36:E36)</f>
        <v>42644937.5</v>
      </c>
      <c r="G36" s="492"/>
    </row>
    <row r="37" spans="1:7" x14ac:dyDescent="0.3">
      <c r="A37" s="943" t="s">
        <v>56</v>
      </c>
      <c r="B37" s="943"/>
      <c r="C37" s="943"/>
      <c r="D37" s="943"/>
      <c r="E37" s="943"/>
      <c r="F37" s="943"/>
      <c r="G37" s="408"/>
    </row>
    <row r="38" spans="1:7" s="75" customFormat="1" ht="56.4" customHeight="1" x14ac:dyDescent="0.25">
      <c r="A38" s="51" t="s">
        <v>2</v>
      </c>
      <c r="B38" s="46" t="str">
        <f>B5</f>
        <v>354
(C.D 14.05.2026, M.D 10.11.2026)</v>
      </c>
      <c r="C38" s="46" t="str">
        <f>C5</f>
        <v>356
(C.D 19.05.2026, M.D 15.11.2026)</v>
      </c>
      <c r="D38" s="46" t="str">
        <f>D5</f>
        <v>357
(C.D 22.05.2026, M.D 18.11.2026)</v>
      </c>
      <c r="E38" s="46" t="str">
        <f>E5</f>
        <v>358
(C.D 04.06.2026, M.D 01.12.2026)</v>
      </c>
      <c r="F38" s="46" t="s">
        <v>0</v>
      </c>
      <c r="G38" s="494"/>
    </row>
    <row r="39" spans="1:7" s="91" customFormat="1" ht="27.6" x14ac:dyDescent="0.25">
      <c r="A39" s="375" t="s">
        <v>204</v>
      </c>
      <c r="B39" s="402">
        <f>0.5%+11.84%</f>
        <v>0.12340000000000001</v>
      </c>
      <c r="C39" s="402">
        <f>0.5%+12.06%</f>
        <v>0.12559999999999999</v>
      </c>
      <c r="D39" s="402">
        <f>0.5%+12.31%</f>
        <v>0.12809999999999999</v>
      </c>
      <c r="E39" s="402">
        <f>0.5%+12.22%</f>
        <v>0.12720000000000001</v>
      </c>
      <c r="F39" s="90"/>
      <c r="G39" s="495"/>
    </row>
    <row r="40" spans="1:7" x14ac:dyDescent="0.3">
      <c r="A40" s="6">
        <f t="shared" ref="A40:A69" si="12">A6</f>
        <v>46204</v>
      </c>
      <c r="B40" s="5">
        <f t="shared" ref="B40:E70" si="13">IF(B6&lt;0,0,B6*B$39/365)</f>
        <v>4135.7298698630138</v>
      </c>
      <c r="C40" s="5">
        <f t="shared" si="13"/>
        <v>3604.479123287671</v>
      </c>
      <c r="D40" s="5">
        <f t="shared" si="13"/>
        <v>4399.2839013698622</v>
      </c>
      <c r="E40" s="5">
        <f t="shared" si="13"/>
        <v>2579.6107726027399</v>
      </c>
      <c r="F40" s="5">
        <f>SUM(B40:E40)</f>
        <v>14719.103667123287</v>
      </c>
      <c r="G40" s="492"/>
    </row>
    <row r="41" spans="1:7" x14ac:dyDescent="0.3">
      <c r="A41" s="6">
        <f t="shared" si="12"/>
        <v>46205</v>
      </c>
      <c r="B41" s="5">
        <f t="shared" si="13"/>
        <v>4135.7298698630138</v>
      </c>
      <c r="C41" s="5">
        <f t="shared" si="13"/>
        <v>3604.479123287671</v>
      </c>
      <c r="D41" s="5">
        <f t="shared" si="13"/>
        <v>4399.2839013698622</v>
      </c>
      <c r="E41" s="5">
        <f t="shared" si="13"/>
        <v>2579.6107726027399</v>
      </c>
      <c r="F41" s="5">
        <f t="shared" ref="F41:F70" si="14">SUM(B41:E41)</f>
        <v>14719.103667123287</v>
      </c>
      <c r="G41" s="492"/>
    </row>
    <row r="42" spans="1:7" x14ac:dyDescent="0.3">
      <c r="A42" s="6">
        <f t="shared" si="12"/>
        <v>46206</v>
      </c>
      <c r="B42" s="5">
        <f t="shared" si="13"/>
        <v>4135.7298698630138</v>
      </c>
      <c r="C42" s="5">
        <f t="shared" si="13"/>
        <v>3604.479123287671</v>
      </c>
      <c r="D42" s="5">
        <f t="shared" si="13"/>
        <v>4399.2839013698622</v>
      </c>
      <c r="E42" s="5">
        <f t="shared" si="13"/>
        <v>2579.6107726027399</v>
      </c>
      <c r="F42" s="5">
        <f t="shared" si="14"/>
        <v>14719.103667123287</v>
      </c>
      <c r="G42" s="492"/>
    </row>
    <row r="43" spans="1:7" x14ac:dyDescent="0.3">
      <c r="A43" s="6">
        <f t="shared" si="12"/>
        <v>46207</v>
      </c>
      <c r="B43" s="5">
        <f t="shared" si="13"/>
        <v>4135.7298698630138</v>
      </c>
      <c r="C43" s="5">
        <f t="shared" si="13"/>
        <v>3604.479123287671</v>
      </c>
      <c r="D43" s="5">
        <f t="shared" si="13"/>
        <v>4399.2839013698622</v>
      </c>
      <c r="E43" s="5">
        <f t="shared" si="13"/>
        <v>2579.6107726027399</v>
      </c>
      <c r="F43" s="5">
        <f t="shared" si="14"/>
        <v>14719.103667123287</v>
      </c>
      <c r="G43" s="492"/>
    </row>
    <row r="44" spans="1:7" x14ac:dyDescent="0.3">
      <c r="A44" s="6">
        <f t="shared" si="12"/>
        <v>46208</v>
      </c>
      <c r="B44" s="5">
        <f t="shared" si="13"/>
        <v>4135.7298698630138</v>
      </c>
      <c r="C44" s="5">
        <f t="shared" si="13"/>
        <v>3604.479123287671</v>
      </c>
      <c r="D44" s="5">
        <f t="shared" si="13"/>
        <v>4399.2839013698622</v>
      </c>
      <c r="E44" s="5">
        <f t="shared" si="13"/>
        <v>2579.6107726027399</v>
      </c>
      <c r="F44" s="5">
        <f t="shared" si="14"/>
        <v>14719.103667123287</v>
      </c>
      <c r="G44" s="492"/>
    </row>
    <row r="45" spans="1:7" x14ac:dyDescent="0.3">
      <c r="A45" s="6">
        <f t="shared" si="12"/>
        <v>46209</v>
      </c>
      <c r="B45" s="5">
        <f t="shared" si="13"/>
        <v>4135.7298698630138</v>
      </c>
      <c r="C45" s="5">
        <f t="shared" si="13"/>
        <v>3604.479123287671</v>
      </c>
      <c r="D45" s="5">
        <f t="shared" si="13"/>
        <v>4399.2839013698622</v>
      </c>
      <c r="E45" s="5">
        <f t="shared" si="13"/>
        <v>2579.6107726027399</v>
      </c>
      <c r="F45" s="5">
        <f t="shared" si="14"/>
        <v>14719.103667123287</v>
      </c>
      <c r="G45" s="492"/>
    </row>
    <row r="46" spans="1:7" x14ac:dyDescent="0.3">
      <c r="A46" s="6">
        <f t="shared" si="12"/>
        <v>46210</v>
      </c>
      <c r="B46" s="5">
        <f t="shared" si="13"/>
        <v>4135.7298698630138</v>
      </c>
      <c r="C46" s="5">
        <f t="shared" si="13"/>
        <v>3604.479123287671</v>
      </c>
      <c r="D46" s="5">
        <f t="shared" si="13"/>
        <v>4399.2839013698622</v>
      </c>
      <c r="E46" s="5">
        <f t="shared" si="13"/>
        <v>2579.6107726027399</v>
      </c>
      <c r="F46" s="5">
        <f t="shared" si="14"/>
        <v>14719.103667123287</v>
      </c>
      <c r="G46" s="492"/>
    </row>
    <row r="47" spans="1:7" x14ac:dyDescent="0.3">
      <c r="A47" s="6">
        <f t="shared" si="12"/>
        <v>46211</v>
      </c>
      <c r="B47" s="5">
        <f t="shared" si="13"/>
        <v>4135.7298698630138</v>
      </c>
      <c r="C47" s="5">
        <f t="shared" si="13"/>
        <v>3604.479123287671</v>
      </c>
      <c r="D47" s="5">
        <f t="shared" si="13"/>
        <v>4399.2839013698622</v>
      </c>
      <c r="E47" s="5">
        <f t="shared" si="13"/>
        <v>2579.6107726027399</v>
      </c>
      <c r="F47" s="5">
        <f t="shared" si="14"/>
        <v>14719.103667123287</v>
      </c>
      <c r="G47" s="492"/>
    </row>
    <row r="48" spans="1:7" x14ac:dyDescent="0.3">
      <c r="A48" s="6">
        <f t="shared" si="12"/>
        <v>46212</v>
      </c>
      <c r="B48" s="5">
        <f t="shared" si="13"/>
        <v>4135.7298698630138</v>
      </c>
      <c r="C48" s="5">
        <f t="shared" si="13"/>
        <v>3604.479123287671</v>
      </c>
      <c r="D48" s="5">
        <f t="shared" si="13"/>
        <v>4399.2839013698622</v>
      </c>
      <c r="E48" s="5">
        <f t="shared" si="13"/>
        <v>2579.6107726027399</v>
      </c>
      <c r="F48" s="5">
        <f t="shared" si="14"/>
        <v>14719.103667123287</v>
      </c>
      <c r="G48" s="492"/>
    </row>
    <row r="49" spans="1:7" x14ac:dyDescent="0.3">
      <c r="A49" s="6">
        <f t="shared" si="12"/>
        <v>46213</v>
      </c>
      <c r="B49" s="5">
        <f t="shared" si="13"/>
        <v>4135.7298698630138</v>
      </c>
      <c r="C49" s="5">
        <f t="shared" si="13"/>
        <v>3604.479123287671</v>
      </c>
      <c r="D49" s="5">
        <f t="shared" si="13"/>
        <v>4399.2839013698622</v>
      </c>
      <c r="E49" s="5">
        <f t="shared" si="13"/>
        <v>2579.6107726027399</v>
      </c>
      <c r="F49" s="5">
        <f t="shared" si="14"/>
        <v>14719.103667123287</v>
      </c>
      <c r="G49" s="492"/>
    </row>
    <row r="50" spans="1:7" x14ac:dyDescent="0.3">
      <c r="A50" s="6">
        <f t="shared" si="12"/>
        <v>46214</v>
      </c>
      <c r="B50" s="5">
        <f t="shared" si="13"/>
        <v>4135.7298698630138</v>
      </c>
      <c r="C50" s="5">
        <f t="shared" si="13"/>
        <v>3604.479123287671</v>
      </c>
      <c r="D50" s="5">
        <f t="shared" si="13"/>
        <v>4399.2839013698622</v>
      </c>
      <c r="E50" s="5">
        <f t="shared" si="13"/>
        <v>2579.6107726027399</v>
      </c>
      <c r="F50" s="5">
        <f t="shared" si="14"/>
        <v>14719.103667123287</v>
      </c>
      <c r="G50" s="492"/>
    </row>
    <row r="51" spans="1:7" x14ac:dyDescent="0.3">
      <c r="A51" s="6">
        <f t="shared" si="12"/>
        <v>46215</v>
      </c>
      <c r="B51" s="5">
        <f t="shared" si="13"/>
        <v>4135.7298698630138</v>
      </c>
      <c r="C51" s="5">
        <f t="shared" si="13"/>
        <v>3604.479123287671</v>
      </c>
      <c r="D51" s="5">
        <f t="shared" si="13"/>
        <v>4399.2839013698622</v>
      </c>
      <c r="E51" s="5">
        <f t="shared" si="13"/>
        <v>2579.6107726027399</v>
      </c>
      <c r="F51" s="5">
        <f t="shared" si="14"/>
        <v>14719.103667123287</v>
      </c>
      <c r="G51" s="492"/>
    </row>
    <row r="52" spans="1:7" x14ac:dyDescent="0.3">
      <c r="A52" s="6">
        <f t="shared" si="12"/>
        <v>46216</v>
      </c>
      <c r="B52" s="5">
        <f t="shared" si="13"/>
        <v>4135.7298698630138</v>
      </c>
      <c r="C52" s="5">
        <f t="shared" si="13"/>
        <v>3604.479123287671</v>
      </c>
      <c r="D52" s="5">
        <f t="shared" si="13"/>
        <v>4399.2839013698622</v>
      </c>
      <c r="E52" s="5">
        <f t="shared" si="13"/>
        <v>2579.6107726027399</v>
      </c>
      <c r="F52" s="5">
        <f t="shared" si="14"/>
        <v>14719.103667123287</v>
      </c>
      <c r="G52" s="492"/>
    </row>
    <row r="53" spans="1:7" x14ac:dyDescent="0.3">
      <c r="A53" s="6">
        <f t="shared" si="12"/>
        <v>46217</v>
      </c>
      <c r="B53" s="5">
        <f t="shared" si="13"/>
        <v>4135.7298698630138</v>
      </c>
      <c r="C53" s="5">
        <f t="shared" si="13"/>
        <v>3604.479123287671</v>
      </c>
      <c r="D53" s="5">
        <f t="shared" si="13"/>
        <v>4399.2839013698622</v>
      </c>
      <c r="E53" s="5">
        <f t="shared" si="13"/>
        <v>2579.6107726027399</v>
      </c>
      <c r="F53" s="5">
        <f t="shared" si="14"/>
        <v>14719.103667123287</v>
      </c>
      <c r="G53" s="492"/>
    </row>
    <row r="54" spans="1:7" x14ac:dyDescent="0.3">
      <c r="A54" s="6">
        <f t="shared" si="12"/>
        <v>46218</v>
      </c>
      <c r="B54" s="5">
        <f t="shared" si="13"/>
        <v>4135.7298698630138</v>
      </c>
      <c r="C54" s="5">
        <f t="shared" si="13"/>
        <v>3604.479123287671</v>
      </c>
      <c r="D54" s="5">
        <f t="shared" si="13"/>
        <v>4399.2839013698622</v>
      </c>
      <c r="E54" s="5">
        <f t="shared" si="13"/>
        <v>2579.6107726027399</v>
      </c>
      <c r="F54" s="5">
        <f t="shared" si="14"/>
        <v>14719.103667123287</v>
      </c>
      <c r="G54" s="492"/>
    </row>
    <row r="55" spans="1:7" x14ac:dyDescent="0.3">
      <c r="A55" s="6">
        <f t="shared" si="12"/>
        <v>46219</v>
      </c>
      <c r="B55" s="5">
        <f t="shared" si="13"/>
        <v>4135.7298698630138</v>
      </c>
      <c r="C55" s="5">
        <f t="shared" si="13"/>
        <v>3604.479123287671</v>
      </c>
      <c r="D55" s="5">
        <f t="shared" si="13"/>
        <v>4399.2839013698622</v>
      </c>
      <c r="E55" s="5">
        <f t="shared" si="13"/>
        <v>2579.6107726027399</v>
      </c>
      <c r="F55" s="5">
        <f t="shared" si="14"/>
        <v>14719.103667123287</v>
      </c>
      <c r="G55" s="492"/>
    </row>
    <row r="56" spans="1:7" x14ac:dyDescent="0.3">
      <c r="A56" s="6">
        <f t="shared" si="12"/>
        <v>46220</v>
      </c>
      <c r="B56" s="5">
        <f t="shared" si="13"/>
        <v>4135.7298698630138</v>
      </c>
      <c r="C56" s="5">
        <f t="shared" si="13"/>
        <v>3604.479123287671</v>
      </c>
      <c r="D56" s="5">
        <f t="shared" si="13"/>
        <v>4399.2839013698622</v>
      </c>
      <c r="E56" s="5">
        <f t="shared" si="13"/>
        <v>2579.6107726027399</v>
      </c>
      <c r="F56" s="5">
        <f t="shared" si="14"/>
        <v>14719.103667123287</v>
      </c>
      <c r="G56" s="492"/>
    </row>
    <row r="57" spans="1:7" x14ac:dyDescent="0.3">
      <c r="A57" s="6">
        <f t="shared" si="12"/>
        <v>46221</v>
      </c>
      <c r="B57" s="5">
        <f t="shared" si="13"/>
        <v>4135.7298698630138</v>
      </c>
      <c r="C57" s="5">
        <f t="shared" si="13"/>
        <v>3604.479123287671</v>
      </c>
      <c r="D57" s="5">
        <f t="shared" si="13"/>
        <v>4399.2839013698622</v>
      </c>
      <c r="E57" s="5">
        <f t="shared" si="13"/>
        <v>2579.6107726027399</v>
      </c>
      <c r="F57" s="5">
        <f t="shared" si="14"/>
        <v>14719.103667123287</v>
      </c>
      <c r="G57" s="492"/>
    </row>
    <row r="58" spans="1:7" x14ac:dyDescent="0.3">
      <c r="A58" s="6">
        <f t="shared" si="12"/>
        <v>46222</v>
      </c>
      <c r="B58" s="5">
        <f t="shared" si="13"/>
        <v>4135.7298698630138</v>
      </c>
      <c r="C58" s="5">
        <f t="shared" si="13"/>
        <v>3604.479123287671</v>
      </c>
      <c r="D58" s="5">
        <f t="shared" si="13"/>
        <v>4399.2839013698622</v>
      </c>
      <c r="E58" s="5">
        <f t="shared" si="13"/>
        <v>2579.6107726027399</v>
      </c>
      <c r="F58" s="5">
        <f t="shared" si="14"/>
        <v>14719.103667123287</v>
      </c>
      <c r="G58" s="492"/>
    </row>
    <row r="59" spans="1:7" x14ac:dyDescent="0.3">
      <c r="A59" s="6">
        <f t="shared" si="12"/>
        <v>46223</v>
      </c>
      <c r="B59" s="5">
        <f t="shared" si="13"/>
        <v>4135.7298698630138</v>
      </c>
      <c r="C59" s="5">
        <f t="shared" si="13"/>
        <v>3604.479123287671</v>
      </c>
      <c r="D59" s="5">
        <f t="shared" si="13"/>
        <v>4399.2839013698622</v>
      </c>
      <c r="E59" s="5">
        <f t="shared" si="13"/>
        <v>2579.6107726027399</v>
      </c>
      <c r="F59" s="5">
        <f t="shared" si="14"/>
        <v>14719.103667123287</v>
      </c>
      <c r="G59" s="492"/>
    </row>
    <row r="60" spans="1:7" x14ac:dyDescent="0.3">
      <c r="A60" s="6">
        <f t="shared" si="12"/>
        <v>46224</v>
      </c>
      <c r="B60" s="5">
        <f t="shared" si="13"/>
        <v>4135.7298698630138</v>
      </c>
      <c r="C60" s="5">
        <f t="shared" si="13"/>
        <v>3604.479123287671</v>
      </c>
      <c r="D60" s="5">
        <f t="shared" si="13"/>
        <v>4399.2839013698622</v>
      </c>
      <c r="E60" s="5">
        <f t="shared" si="13"/>
        <v>2579.6107726027399</v>
      </c>
      <c r="F60" s="5">
        <f t="shared" si="14"/>
        <v>14719.103667123287</v>
      </c>
      <c r="G60" s="492"/>
    </row>
    <row r="61" spans="1:7" x14ac:dyDescent="0.3">
      <c r="A61" s="6">
        <f t="shared" si="12"/>
        <v>46225</v>
      </c>
      <c r="B61" s="5">
        <f t="shared" si="13"/>
        <v>4135.7298698630138</v>
      </c>
      <c r="C61" s="5">
        <f t="shared" si="13"/>
        <v>3604.479123287671</v>
      </c>
      <c r="D61" s="5">
        <f t="shared" si="13"/>
        <v>4399.2839013698622</v>
      </c>
      <c r="E61" s="5">
        <f t="shared" si="13"/>
        <v>2579.6107726027399</v>
      </c>
      <c r="F61" s="5">
        <f t="shared" si="14"/>
        <v>14719.103667123287</v>
      </c>
      <c r="G61" s="492"/>
    </row>
    <row r="62" spans="1:7" x14ac:dyDescent="0.3">
      <c r="A62" s="6">
        <f t="shared" si="12"/>
        <v>46226</v>
      </c>
      <c r="B62" s="5">
        <f t="shared" si="13"/>
        <v>4135.7298698630138</v>
      </c>
      <c r="C62" s="5">
        <f t="shared" si="13"/>
        <v>3604.479123287671</v>
      </c>
      <c r="D62" s="5">
        <f t="shared" si="13"/>
        <v>4399.2839013698622</v>
      </c>
      <c r="E62" s="5">
        <f t="shared" si="13"/>
        <v>2579.6107726027399</v>
      </c>
      <c r="F62" s="5">
        <f t="shared" si="14"/>
        <v>14719.103667123287</v>
      </c>
      <c r="G62" s="492"/>
    </row>
    <row r="63" spans="1:7" x14ac:dyDescent="0.3">
      <c r="A63" s="6">
        <f t="shared" si="12"/>
        <v>46227</v>
      </c>
      <c r="B63" s="5">
        <f t="shared" si="13"/>
        <v>4135.7298698630138</v>
      </c>
      <c r="C63" s="5">
        <f t="shared" si="13"/>
        <v>3604.479123287671</v>
      </c>
      <c r="D63" s="5">
        <f t="shared" si="13"/>
        <v>4399.2839013698622</v>
      </c>
      <c r="E63" s="5">
        <f t="shared" si="13"/>
        <v>2579.6107726027399</v>
      </c>
      <c r="F63" s="5">
        <f t="shared" si="14"/>
        <v>14719.103667123287</v>
      </c>
      <c r="G63" s="492"/>
    </row>
    <row r="64" spans="1:7" x14ac:dyDescent="0.3">
      <c r="A64" s="6">
        <f t="shared" si="12"/>
        <v>46228</v>
      </c>
      <c r="B64" s="5">
        <f t="shared" si="13"/>
        <v>4135.7298698630138</v>
      </c>
      <c r="C64" s="5">
        <f t="shared" si="13"/>
        <v>3604.479123287671</v>
      </c>
      <c r="D64" s="5">
        <f t="shared" si="13"/>
        <v>4399.2839013698622</v>
      </c>
      <c r="E64" s="5">
        <f t="shared" si="13"/>
        <v>2579.6107726027399</v>
      </c>
      <c r="F64" s="5">
        <f t="shared" si="14"/>
        <v>14719.103667123287</v>
      </c>
      <c r="G64" s="492"/>
    </row>
    <row r="65" spans="1:10" x14ac:dyDescent="0.3">
      <c r="A65" s="6">
        <f t="shared" si="12"/>
        <v>46229</v>
      </c>
      <c r="B65" s="5">
        <f t="shared" si="13"/>
        <v>4135.7298698630138</v>
      </c>
      <c r="C65" s="5">
        <f t="shared" si="13"/>
        <v>3604.479123287671</v>
      </c>
      <c r="D65" s="5">
        <f t="shared" si="13"/>
        <v>4399.2839013698622</v>
      </c>
      <c r="E65" s="5">
        <f t="shared" si="13"/>
        <v>2579.6107726027399</v>
      </c>
      <c r="F65" s="5">
        <f t="shared" si="14"/>
        <v>14719.103667123287</v>
      </c>
      <c r="G65" s="492"/>
    </row>
    <row r="66" spans="1:10" x14ac:dyDescent="0.3">
      <c r="A66" s="6">
        <f t="shared" si="12"/>
        <v>46230</v>
      </c>
      <c r="B66" s="5">
        <f t="shared" si="13"/>
        <v>4135.7298698630138</v>
      </c>
      <c r="C66" s="5">
        <f t="shared" si="13"/>
        <v>3604.479123287671</v>
      </c>
      <c r="D66" s="5">
        <f t="shared" si="13"/>
        <v>4399.2839013698622</v>
      </c>
      <c r="E66" s="5">
        <f t="shared" si="13"/>
        <v>2579.6107726027399</v>
      </c>
      <c r="F66" s="5">
        <f t="shared" si="14"/>
        <v>14719.103667123287</v>
      </c>
      <c r="G66" s="492"/>
    </row>
    <row r="67" spans="1:10" x14ac:dyDescent="0.3">
      <c r="A67" s="6">
        <f t="shared" si="12"/>
        <v>46231</v>
      </c>
      <c r="B67" s="5">
        <f t="shared" si="13"/>
        <v>4135.7298698630138</v>
      </c>
      <c r="C67" s="5">
        <f t="shared" si="13"/>
        <v>3604.479123287671</v>
      </c>
      <c r="D67" s="5">
        <f t="shared" si="13"/>
        <v>4399.2839013698622</v>
      </c>
      <c r="E67" s="5">
        <f t="shared" si="13"/>
        <v>2579.6107726027399</v>
      </c>
      <c r="F67" s="5">
        <f t="shared" si="14"/>
        <v>14719.103667123287</v>
      </c>
      <c r="G67" s="492"/>
    </row>
    <row r="68" spans="1:10" x14ac:dyDescent="0.3">
      <c r="A68" s="6">
        <f t="shared" si="12"/>
        <v>46232</v>
      </c>
      <c r="B68" s="5">
        <f t="shared" si="13"/>
        <v>4135.7298698630138</v>
      </c>
      <c r="C68" s="5">
        <f t="shared" si="13"/>
        <v>3604.479123287671</v>
      </c>
      <c r="D68" s="5">
        <f t="shared" si="13"/>
        <v>4399.2839013698622</v>
      </c>
      <c r="E68" s="5">
        <f t="shared" si="13"/>
        <v>2579.6107726027399</v>
      </c>
      <c r="F68" s="5">
        <f t="shared" si="14"/>
        <v>14719.103667123287</v>
      </c>
      <c r="G68" s="492"/>
    </row>
    <row r="69" spans="1:10" x14ac:dyDescent="0.3">
      <c r="A69" s="6">
        <f t="shared" si="12"/>
        <v>46233</v>
      </c>
      <c r="B69" s="5">
        <f t="shared" si="13"/>
        <v>4135.7298698630138</v>
      </c>
      <c r="C69" s="5">
        <f t="shared" si="13"/>
        <v>3604.479123287671</v>
      </c>
      <c r="D69" s="5">
        <f t="shared" si="13"/>
        <v>4399.2839013698622</v>
      </c>
      <c r="E69" s="5">
        <f t="shared" si="13"/>
        <v>2579.6107726027399</v>
      </c>
      <c r="F69" s="5">
        <f t="shared" ref="F69" si="15">SUM(B69:E69)</f>
        <v>14719.103667123287</v>
      </c>
      <c r="G69" s="492"/>
    </row>
    <row r="70" spans="1:10" x14ac:dyDescent="0.3">
      <c r="A70" s="6">
        <f t="shared" ref="A70" si="16">A36</f>
        <v>46234</v>
      </c>
      <c r="B70" s="5">
        <f t="shared" si="13"/>
        <v>4135.7298698630138</v>
      </c>
      <c r="C70" s="5">
        <f t="shared" si="13"/>
        <v>3604.479123287671</v>
      </c>
      <c r="D70" s="5">
        <f t="shared" si="13"/>
        <v>4399.2839013698622</v>
      </c>
      <c r="E70" s="5">
        <f t="shared" si="13"/>
        <v>2579.6107726027399</v>
      </c>
      <c r="F70" s="5">
        <f t="shared" si="14"/>
        <v>14719.103667123287</v>
      </c>
      <c r="G70" s="492"/>
    </row>
    <row r="71" spans="1:10" x14ac:dyDescent="0.3">
      <c r="A71" s="9" t="s">
        <v>14</v>
      </c>
      <c r="B71" s="10">
        <f>SUM(B40:B70)</f>
        <v>128207.62596575348</v>
      </c>
      <c r="C71" s="10">
        <f>SUM(C40:C70)</f>
        <v>111738.85282191787</v>
      </c>
      <c r="D71" s="10">
        <f>SUM(D40:D70)</f>
        <v>136377.80094246581</v>
      </c>
      <c r="E71" s="10">
        <f>SUM(E40:E70)</f>
        <v>79967.933950684936</v>
      </c>
      <c r="F71" s="10">
        <f>SUM(F40:F70)</f>
        <v>456292.21368082223</v>
      </c>
      <c r="G71" s="496"/>
    </row>
    <row r="72" spans="1:10" x14ac:dyDescent="0.3">
      <c r="A72" s="954"/>
      <c r="B72" s="954"/>
      <c r="C72" s="954"/>
      <c r="D72" s="954"/>
      <c r="E72" s="954"/>
      <c r="F72" s="954"/>
      <c r="G72" s="404"/>
    </row>
    <row r="73" spans="1:10" x14ac:dyDescent="0.3">
      <c r="A73" s="943" t="s">
        <v>73</v>
      </c>
      <c r="B73" s="943"/>
      <c r="C73" s="943"/>
      <c r="D73" s="943"/>
      <c r="E73" s="943"/>
      <c r="F73" s="943"/>
      <c r="G73" s="408"/>
    </row>
    <row r="74" spans="1:10" s="75" customFormat="1" ht="55.95" customHeight="1" x14ac:dyDescent="0.25">
      <c r="A74" s="51" t="s">
        <v>18</v>
      </c>
      <c r="B74" s="46" t="str">
        <f>B5</f>
        <v>354
(C.D 14.05.2026, M.D 10.11.2026)</v>
      </c>
      <c r="C74" s="46" t="str">
        <f>C5</f>
        <v>356
(C.D 19.05.2026, M.D 15.11.2026)</v>
      </c>
      <c r="D74" s="46" t="str">
        <f>D5</f>
        <v>357
(C.D 22.05.2026, M.D 18.11.2026)</v>
      </c>
      <c r="E74" s="46" t="str">
        <f>E5</f>
        <v>358
(C.D 04.06.2026, M.D 01.12.2026)</v>
      </c>
      <c r="F74" s="46" t="s">
        <v>0</v>
      </c>
      <c r="G74" s="494"/>
    </row>
    <row r="75" spans="1:10" x14ac:dyDescent="0.3">
      <c r="A75" s="11" t="s">
        <v>15</v>
      </c>
      <c r="B75" s="316">
        <v>198515.03375342471</v>
      </c>
      <c r="C75" s="316">
        <v>154992.60230136995</v>
      </c>
      <c r="D75" s="316">
        <v>175971.35605479457</v>
      </c>
      <c r="E75" s="316">
        <v>69649.490860273974</v>
      </c>
      <c r="F75" s="306">
        <f>SUM(B75:E75)</f>
        <v>599128.48296986322</v>
      </c>
      <c r="G75" s="497"/>
    </row>
    <row r="76" spans="1:10" x14ac:dyDescent="0.3">
      <c r="A76" s="11" t="s">
        <v>16</v>
      </c>
      <c r="B76" s="5">
        <f>B71</f>
        <v>128207.62596575348</v>
      </c>
      <c r="C76" s="5">
        <f>C71</f>
        <v>111738.85282191787</v>
      </c>
      <c r="D76" s="5">
        <f>D71</f>
        <v>136377.80094246581</v>
      </c>
      <c r="E76" s="5">
        <f>E71</f>
        <v>79967.933950684936</v>
      </c>
      <c r="F76" s="306">
        <f>SUM(B76:E76)</f>
        <v>456292.21368082217</v>
      </c>
      <c r="G76" s="497"/>
    </row>
    <row r="77" spans="1:10" x14ac:dyDescent="0.3">
      <c r="A77" s="11" t="s">
        <v>26</v>
      </c>
      <c r="B77" s="316">
        <v>0</v>
      </c>
      <c r="C77" s="316">
        <v>0</v>
      </c>
      <c r="D77" s="316">
        <v>0</v>
      </c>
      <c r="E77" s="316">
        <v>0</v>
      </c>
      <c r="F77" s="306">
        <f>SUM(B77:E77)</f>
        <v>0</v>
      </c>
      <c r="G77" s="497"/>
    </row>
    <row r="78" spans="1:10" x14ac:dyDescent="0.3">
      <c r="A78" s="11" t="s">
        <v>14</v>
      </c>
      <c r="B78" s="5">
        <f>SUM(B75:B77)</f>
        <v>326722.65971917822</v>
      </c>
      <c r="C78" s="5">
        <f>SUM(C75:C77)</f>
        <v>266731.4551232878</v>
      </c>
      <c r="D78" s="5">
        <f>SUM(D75:D77)</f>
        <v>312349.1569972604</v>
      </c>
      <c r="E78" s="5">
        <f>SUM(E75:E77)</f>
        <v>149617.42481095891</v>
      </c>
      <c r="F78" s="306">
        <f>SUM(B78:E78)</f>
        <v>1055420.6966506853</v>
      </c>
      <c r="G78" s="497"/>
    </row>
    <row r="79" spans="1:10" x14ac:dyDescent="0.3">
      <c r="A79" s="939"/>
      <c r="B79" s="939"/>
      <c r="C79" s="939"/>
      <c r="D79" s="939"/>
      <c r="E79" s="939"/>
      <c r="F79" s="939"/>
      <c r="G79" s="404"/>
    </row>
    <row r="80" spans="1:10" ht="17.399999999999999" x14ac:dyDescent="0.3">
      <c r="A80" s="12" t="s">
        <v>30</v>
      </c>
      <c r="B80" s="13">
        <v>0</v>
      </c>
      <c r="C80" s="13">
        <v>0</v>
      </c>
      <c r="D80" s="13">
        <v>0</v>
      </c>
      <c r="E80" s="13">
        <v>0</v>
      </c>
      <c r="F80" s="13">
        <f>SUM(B80:E80)</f>
        <v>0</v>
      </c>
      <c r="G80" s="707"/>
      <c r="H80" s="708"/>
      <c r="I80" s="257"/>
      <c r="J80" s="257"/>
    </row>
    <row r="81" spans="1:10" x14ac:dyDescent="0.3">
      <c r="A81" s="940"/>
      <c r="B81" s="940"/>
      <c r="C81" s="940"/>
      <c r="D81" s="940"/>
      <c r="E81" s="940"/>
      <c r="F81" s="940"/>
      <c r="G81" s="404"/>
      <c r="J81" s="257"/>
    </row>
    <row r="82" spans="1:10" x14ac:dyDescent="0.3">
      <c r="A82" s="12" t="s">
        <v>4</v>
      </c>
      <c r="B82" s="44"/>
      <c r="C82" s="44"/>
      <c r="D82" s="44"/>
      <c r="E82" s="44"/>
      <c r="F82" s="13">
        <f>SUM(B82:E82)</f>
        <v>0</v>
      </c>
      <c r="G82" s="492"/>
      <c r="H82" s="34"/>
    </row>
    <row r="83" spans="1:10" x14ac:dyDescent="0.3">
      <c r="A83" s="940"/>
      <c r="B83" s="940"/>
      <c r="C83" s="940"/>
      <c r="D83" s="940"/>
      <c r="E83" s="940"/>
      <c r="F83" s="940"/>
      <c r="G83" s="404"/>
      <c r="J83" s="257"/>
    </row>
    <row r="84" spans="1:10" x14ac:dyDescent="0.3">
      <c r="A84" s="28" t="s">
        <v>17</v>
      </c>
      <c r="B84" s="29">
        <f>B71+B82+B77</f>
        <v>128207.62596575348</v>
      </c>
      <c r="C84" s="29">
        <f>C71+C82+C77</f>
        <v>111738.85282191787</v>
      </c>
      <c r="D84" s="29">
        <f>D71+D82+D77</f>
        <v>136377.80094246581</v>
      </c>
      <c r="E84" s="29">
        <f>E71+E82+E77</f>
        <v>79967.933950684936</v>
      </c>
      <c r="F84" s="29">
        <f>SUM(B84:E84)</f>
        <v>456292.21368082217</v>
      </c>
      <c r="G84" s="496"/>
    </row>
    <row r="85" spans="1:10" x14ac:dyDescent="0.3">
      <c r="A85" s="940"/>
      <c r="B85" s="940"/>
      <c r="C85" s="940"/>
      <c r="D85" s="940"/>
      <c r="E85" s="940"/>
      <c r="F85" s="940"/>
      <c r="G85" s="404"/>
    </row>
    <row r="86" spans="1:10" x14ac:dyDescent="0.3">
      <c r="A86" s="12" t="s">
        <v>31</v>
      </c>
      <c r="B86" s="107">
        <f>B78+B82-B80</f>
        <v>326722.65971917822</v>
      </c>
      <c r="C86" s="107">
        <f>C78+C82-C80</f>
        <v>266731.4551232878</v>
      </c>
      <c r="D86" s="107">
        <f>D78+D82-D80</f>
        <v>312349.1569972604</v>
      </c>
      <c r="E86" s="107">
        <f>E78+E82-E80</f>
        <v>149617.42481095891</v>
      </c>
      <c r="F86" s="107">
        <f>F78+F82-F80</f>
        <v>1055420.6966506853</v>
      </c>
      <c r="G86" s="496"/>
    </row>
    <row r="87" spans="1:10" x14ac:dyDescent="0.3">
      <c r="A87" s="322" t="s">
        <v>264</v>
      </c>
      <c r="B87" s="399">
        <v>30000892</v>
      </c>
      <c r="C87" s="399">
        <v>30000896</v>
      </c>
      <c r="D87" s="399">
        <v>30000897</v>
      </c>
      <c r="E87" s="399">
        <v>30000907</v>
      </c>
    </row>
    <row r="88" spans="1:10" x14ac:dyDescent="0.3">
      <c r="B88" s="139"/>
      <c r="C88" s="139"/>
      <c r="D88" s="139"/>
      <c r="E88" s="139"/>
    </row>
    <row r="90" spans="1:10" x14ac:dyDescent="0.3">
      <c r="A90" s="318" t="s">
        <v>265</v>
      </c>
      <c r="B90" s="413">
        <v>9200000014</v>
      </c>
      <c r="C90" s="413"/>
      <c r="D90" s="413"/>
      <c r="E90" s="413"/>
    </row>
    <row r="91" spans="1:10" x14ac:dyDescent="0.3">
      <c r="A91" s="318" t="s">
        <v>266</v>
      </c>
      <c r="B91" s="413">
        <v>40000008</v>
      </c>
      <c r="C91" s="413"/>
      <c r="D91" s="413"/>
      <c r="E91" s="413"/>
    </row>
  </sheetData>
  <mergeCells count="8">
    <mergeCell ref="A79:F79"/>
    <mergeCell ref="A81:F81"/>
    <mergeCell ref="A83:F83"/>
    <mergeCell ref="A85:F85"/>
    <mergeCell ref="A4:F4"/>
    <mergeCell ref="A37:F37"/>
    <mergeCell ref="A72:F72"/>
    <mergeCell ref="A73:F73"/>
  </mergeCells>
  <phoneticPr fontId="22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1" orientation="portrait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F155-F0A6-4197-AC61-FFDA0A21D412}">
  <sheetPr>
    <tabColor theme="0"/>
    <pageSetUpPr fitToPage="1"/>
  </sheetPr>
  <dimension ref="A1:O52"/>
  <sheetViews>
    <sheetView showGridLines="0" topLeftCell="A15" zoomScaleNormal="100" zoomScaleSheetLayoutView="100" workbookViewId="0">
      <selection activeCell="A7" sqref="A7"/>
    </sheetView>
  </sheetViews>
  <sheetFormatPr defaultColWidth="10.6328125" defaultRowHeight="13.8" x14ac:dyDescent="0.3"/>
  <cols>
    <col min="1" max="1" width="9.6328125" style="3" customWidth="1"/>
    <col min="2" max="2" width="12.81640625" style="2" customWidth="1"/>
    <col min="3" max="3" width="10.90625" style="2" bestFit="1" customWidth="1"/>
    <col min="4" max="4" width="11" style="2" customWidth="1"/>
    <col min="5" max="5" width="12" style="2" customWidth="1"/>
    <col min="6" max="6" width="0.90625" style="3" customWidth="1"/>
    <col min="7" max="7" width="7.08984375" style="3" customWidth="1"/>
    <col min="8" max="8" width="8.6328125" style="331" customWidth="1"/>
    <col min="9" max="9" width="13.81640625" style="3" customWidth="1"/>
    <col min="10" max="10" width="11.08984375" style="3" customWidth="1"/>
    <col min="11" max="12" width="13.08984375" style="3" bestFit="1" customWidth="1"/>
    <col min="13" max="13" width="14.36328125" style="3" bestFit="1" customWidth="1"/>
    <col min="14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  <c r="K1" s="331"/>
      <c r="L1" s="331"/>
    </row>
    <row r="2" spans="1:13" ht="18.600000000000001" thickBot="1" x14ac:dyDescent="0.4">
      <c r="A2" s="955" t="s">
        <v>166</v>
      </c>
      <c r="B2" s="955"/>
      <c r="C2" s="955"/>
      <c r="D2" s="955"/>
      <c r="E2" s="955"/>
      <c r="F2" s="955"/>
      <c r="G2" s="955"/>
      <c r="H2" s="955"/>
      <c r="I2" s="955"/>
      <c r="J2" s="724">
        <f>'FINANCIAL COST SUMMARY'!K2</f>
        <v>46204</v>
      </c>
      <c r="K2" s="331"/>
      <c r="L2" s="331"/>
    </row>
    <row r="3" spans="1:13" x14ac:dyDescent="0.3">
      <c r="A3" s="993"/>
      <c r="B3" s="993"/>
      <c r="C3" s="993"/>
      <c r="D3" s="993"/>
      <c r="E3" s="993"/>
      <c r="F3" s="993"/>
      <c r="G3" s="993"/>
      <c r="H3" s="993"/>
      <c r="I3" s="993"/>
      <c r="J3" s="993"/>
      <c r="K3" s="330">
        <v>0</v>
      </c>
      <c r="L3" s="331"/>
    </row>
    <row r="4" spans="1:13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84" t="s">
        <v>168</v>
      </c>
      <c r="H4" s="984" t="s">
        <v>53</v>
      </c>
      <c r="I4" s="976" t="s">
        <v>169</v>
      </c>
      <c r="J4" s="976" t="s">
        <v>170</v>
      </c>
      <c r="K4" s="331"/>
      <c r="L4" s="331"/>
    </row>
    <row r="5" spans="1:13" x14ac:dyDescent="0.3">
      <c r="A5" s="958"/>
      <c r="B5" s="983"/>
      <c r="C5" s="67" t="s">
        <v>7</v>
      </c>
      <c r="D5" s="67" t="s">
        <v>8</v>
      </c>
      <c r="E5" s="960"/>
      <c r="G5" s="985"/>
      <c r="H5" s="985"/>
      <c r="I5" s="977"/>
      <c r="J5" s="977"/>
      <c r="K5" s="331"/>
      <c r="L5" s="331"/>
    </row>
    <row r="6" spans="1:13" x14ac:dyDescent="0.3">
      <c r="A6" s="603">
        <v>46204</v>
      </c>
      <c r="B6" s="330"/>
      <c r="C6" s="604"/>
      <c r="D6" s="584"/>
      <c r="E6" s="381">
        <f>SUM(B6:D6)</f>
        <v>0</v>
      </c>
      <c r="F6" s="331"/>
      <c r="G6" s="382">
        <v>5.0000000000000001E-3</v>
      </c>
      <c r="H6" s="336">
        <v>0.1149</v>
      </c>
      <c r="I6" s="383">
        <f>+H6+G6</f>
        <v>0.11990000000000001</v>
      </c>
      <c r="J6" s="385">
        <f>IF(E6&lt;0,0,E6*I6/365)</f>
        <v>0</v>
      </c>
      <c r="K6" s="115">
        <f>+E6-K3</f>
        <v>0</v>
      </c>
      <c r="L6" s="725"/>
      <c r="M6" s="257"/>
    </row>
    <row r="7" spans="1:13" x14ac:dyDescent="0.3">
      <c r="A7" s="603">
        <f>+A6+1</f>
        <v>46205</v>
      </c>
      <c r="B7" s="1019">
        <v>2818139.81</v>
      </c>
      <c r="C7" s="596"/>
      <c r="D7" s="584"/>
      <c r="E7" s="381">
        <f t="shared" ref="E7:E32" si="0">SUM(B7:D7)</f>
        <v>0</v>
      </c>
      <c r="F7" s="331"/>
      <c r="G7" s="382">
        <v>5.0000000000000001E-3</v>
      </c>
      <c r="H7" s="336">
        <v>0.1149</v>
      </c>
      <c r="I7" s="383">
        <f>+H7+G7</f>
        <v>0.11990000000000001</v>
      </c>
      <c r="J7" s="385">
        <f t="shared" ref="J7:J32" si="1">IF(E7&lt;0,0,E7*I7/365)</f>
        <v>0</v>
      </c>
      <c r="K7" s="115">
        <f t="shared" ref="K7:K13" si="2">+E7-E6</f>
        <v>0</v>
      </c>
      <c r="L7" s="331"/>
    </row>
    <row r="8" spans="1:13" x14ac:dyDescent="0.3">
      <c r="A8" s="603">
        <f t="shared" ref="A8:A36" si="3">+A7+1</f>
        <v>46206</v>
      </c>
      <c r="B8" s="1019">
        <v>17045035.19</v>
      </c>
      <c r="C8" s="596"/>
      <c r="D8" s="584"/>
      <c r="E8" s="381">
        <f t="shared" si="0"/>
        <v>0</v>
      </c>
      <c r="F8" s="331"/>
      <c r="G8" s="382">
        <v>5.0000000000000001E-3</v>
      </c>
      <c r="H8" s="336">
        <v>0.1149</v>
      </c>
      <c r="I8" s="383">
        <f t="shared" ref="I8:I31" si="4">+H8+G8</f>
        <v>0.11990000000000001</v>
      </c>
      <c r="J8" s="385">
        <f t="shared" si="1"/>
        <v>0</v>
      </c>
      <c r="K8" s="115">
        <f t="shared" si="2"/>
        <v>0</v>
      </c>
      <c r="L8" s="331"/>
    </row>
    <row r="9" spans="1:13" x14ac:dyDescent="0.3">
      <c r="A9" s="603">
        <f t="shared" si="3"/>
        <v>46207</v>
      </c>
      <c r="B9" s="1019">
        <v>17045035.19</v>
      </c>
      <c r="C9" s="596"/>
      <c r="D9" s="584"/>
      <c r="E9" s="381">
        <f t="shared" si="0"/>
        <v>0</v>
      </c>
      <c r="F9" s="331"/>
      <c r="G9" s="382">
        <v>5.0000000000000001E-3</v>
      </c>
      <c r="H9" s="336">
        <v>0.1149</v>
      </c>
      <c r="I9" s="383">
        <f t="shared" si="4"/>
        <v>0.11990000000000001</v>
      </c>
      <c r="J9" s="385">
        <f t="shared" si="1"/>
        <v>0</v>
      </c>
      <c r="K9" s="115">
        <f t="shared" si="2"/>
        <v>0</v>
      </c>
      <c r="L9" s="331"/>
    </row>
    <row r="10" spans="1:13" x14ac:dyDescent="0.3">
      <c r="A10" s="315">
        <f t="shared" si="3"/>
        <v>46208</v>
      </c>
      <c r="B10" s="1019">
        <v>17045035.19</v>
      </c>
      <c r="C10" s="585"/>
      <c r="D10" s="381"/>
      <c r="E10" s="381">
        <f t="shared" si="0"/>
        <v>0</v>
      </c>
      <c r="F10" s="331"/>
      <c r="G10" s="382">
        <v>5.0000000000000001E-3</v>
      </c>
      <c r="H10" s="336">
        <v>0.1149</v>
      </c>
      <c r="I10" s="383">
        <f t="shared" si="4"/>
        <v>0.11990000000000001</v>
      </c>
      <c r="J10" s="385">
        <f t="shared" si="1"/>
        <v>0</v>
      </c>
      <c r="K10" s="115">
        <f t="shared" si="2"/>
        <v>0</v>
      </c>
      <c r="L10" s="331"/>
    </row>
    <row r="11" spans="1:13" x14ac:dyDescent="0.3">
      <c r="A11" s="315">
        <f t="shared" si="3"/>
        <v>46209</v>
      </c>
      <c r="B11" s="1019">
        <v>17045035.19</v>
      </c>
      <c r="C11" s="330"/>
      <c r="D11" s="414"/>
      <c r="E11" s="381">
        <f t="shared" si="0"/>
        <v>0</v>
      </c>
      <c r="F11" s="331"/>
      <c r="G11" s="382">
        <v>5.0000000000000001E-3</v>
      </c>
      <c r="H11" s="336">
        <v>0.1149</v>
      </c>
      <c r="I11" s="383">
        <f t="shared" si="4"/>
        <v>0.11990000000000001</v>
      </c>
      <c r="J11" s="385">
        <f t="shared" si="1"/>
        <v>0</v>
      </c>
      <c r="K11" s="115">
        <f t="shared" si="2"/>
        <v>0</v>
      </c>
      <c r="L11" s="331"/>
    </row>
    <row r="12" spans="1:13" x14ac:dyDescent="0.3">
      <c r="A12" s="315">
        <f t="shared" si="3"/>
        <v>46210</v>
      </c>
      <c r="B12" s="330"/>
      <c r="C12" s="381"/>
      <c r="D12" s="381"/>
      <c r="E12" s="381">
        <f t="shared" si="0"/>
        <v>0</v>
      </c>
      <c r="F12" s="331"/>
      <c r="G12" s="382">
        <v>5.0000000000000001E-3</v>
      </c>
      <c r="H12" s="336">
        <v>0.1149</v>
      </c>
      <c r="I12" s="383">
        <f t="shared" si="4"/>
        <v>0.11990000000000001</v>
      </c>
      <c r="J12" s="385">
        <f t="shared" si="1"/>
        <v>0</v>
      </c>
      <c r="K12" s="115">
        <f t="shared" si="2"/>
        <v>0</v>
      </c>
      <c r="L12" s="331"/>
    </row>
    <row r="13" spans="1:13" x14ac:dyDescent="0.3">
      <c r="A13" s="315">
        <f t="shared" si="3"/>
        <v>46211</v>
      </c>
      <c r="B13" s="330"/>
      <c r="C13" s="414"/>
      <c r="D13" s="381"/>
      <c r="E13" s="381">
        <f t="shared" si="0"/>
        <v>0</v>
      </c>
      <c r="F13" s="331"/>
      <c r="G13" s="382">
        <v>5.0000000000000001E-3</v>
      </c>
      <c r="H13" s="336">
        <v>0.1149</v>
      </c>
      <c r="I13" s="383">
        <f t="shared" si="4"/>
        <v>0.11990000000000001</v>
      </c>
      <c r="J13" s="385">
        <f t="shared" si="1"/>
        <v>0</v>
      </c>
      <c r="K13" s="115">
        <f t="shared" si="2"/>
        <v>0</v>
      </c>
      <c r="L13" s="331"/>
    </row>
    <row r="14" spans="1:13" x14ac:dyDescent="0.3">
      <c r="A14" s="315">
        <f t="shared" si="3"/>
        <v>46212</v>
      </c>
      <c r="B14" s="330"/>
      <c r="C14" s="414"/>
      <c r="D14" s="381"/>
      <c r="E14" s="381">
        <f t="shared" si="0"/>
        <v>0</v>
      </c>
      <c r="F14" s="331"/>
      <c r="G14" s="382">
        <v>5.0000000000000001E-3</v>
      </c>
      <c r="H14" s="336">
        <v>0.1149</v>
      </c>
      <c r="I14" s="383">
        <f t="shared" si="4"/>
        <v>0.11990000000000001</v>
      </c>
      <c r="J14" s="385">
        <f t="shared" si="1"/>
        <v>0</v>
      </c>
      <c r="K14" s="115">
        <f t="shared" ref="K14:K20" si="5">+E14-E13</f>
        <v>0</v>
      </c>
      <c r="L14" s="331"/>
    </row>
    <row r="15" spans="1:13" x14ac:dyDescent="0.3">
      <c r="A15" s="315">
        <f t="shared" si="3"/>
        <v>46213</v>
      </c>
      <c r="B15" s="330"/>
      <c r="C15" s="414"/>
      <c r="D15" s="381"/>
      <c r="E15" s="381">
        <f t="shared" si="0"/>
        <v>0</v>
      </c>
      <c r="F15" s="331"/>
      <c r="G15" s="382">
        <v>5.0000000000000001E-3</v>
      </c>
      <c r="H15" s="336">
        <v>0.1149</v>
      </c>
      <c r="I15" s="383">
        <f t="shared" si="4"/>
        <v>0.11990000000000001</v>
      </c>
      <c r="J15" s="385">
        <f t="shared" si="1"/>
        <v>0</v>
      </c>
      <c r="K15" s="115">
        <f>+E15-E14</f>
        <v>0</v>
      </c>
      <c r="L15" s="331"/>
    </row>
    <row r="16" spans="1:13" s="331" customFormat="1" x14ac:dyDescent="0.3">
      <c r="A16" s="315">
        <f t="shared" si="3"/>
        <v>46214</v>
      </c>
      <c r="B16" s="330"/>
      <c r="C16" s="414"/>
      <c r="D16" s="381"/>
      <c r="E16" s="381">
        <f t="shared" si="0"/>
        <v>0</v>
      </c>
      <c r="G16" s="382">
        <v>5.0000000000000001E-3</v>
      </c>
      <c r="H16" s="336">
        <v>0.1149</v>
      </c>
      <c r="I16" s="383">
        <f t="shared" si="4"/>
        <v>0.11990000000000001</v>
      </c>
      <c r="J16" s="385">
        <f t="shared" si="1"/>
        <v>0</v>
      </c>
      <c r="K16" s="115">
        <f t="shared" si="5"/>
        <v>0</v>
      </c>
    </row>
    <row r="17" spans="1:13" s="331" customFormat="1" x14ac:dyDescent="0.3">
      <c r="A17" s="315">
        <f t="shared" si="3"/>
        <v>46215</v>
      </c>
      <c r="B17" s="330"/>
      <c r="C17" s="381"/>
      <c r="D17" s="381"/>
      <c r="E17" s="381">
        <f t="shared" si="0"/>
        <v>0</v>
      </c>
      <c r="G17" s="382">
        <v>5.0000000000000001E-3</v>
      </c>
      <c r="H17" s="336">
        <v>0.1149</v>
      </c>
      <c r="I17" s="383">
        <f t="shared" si="4"/>
        <v>0.11990000000000001</v>
      </c>
      <c r="J17" s="385">
        <f t="shared" si="1"/>
        <v>0</v>
      </c>
      <c r="K17" s="115">
        <f t="shared" si="5"/>
        <v>0</v>
      </c>
    </row>
    <row r="18" spans="1:13" s="331" customFormat="1" x14ac:dyDescent="0.3">
      <c r="A18" s="315">
        <f t="shared" si="3"/>
        <v>46216</v>
      </c>
      <c r="B18" s="330"/>
      <c r="C18" s="381"/>
      <c r="D18" s="381"/>
      <c r="E18" s="381">
        <f t="shared" si="0"/>
        <v>0</v>
      </c>
      <c r="G18" s="382">
        <v>5.0000000000000001E-3</v>
      </c>
      <c r="H18" s="336">
        <v>0.1149</v>
      </c>
      <c r="I18" s="383">
        <f t="shared" si="4"/>
        <v>0.11990000000000001</v>
      </c>
      <c r="J18" s="385">
        <f t="shared" si="1"/>
        <v>0</v>
      </c>
      <c r="K18" s="115">
        <f t="shared" si="5"/>
        <v>0</v>
      </c>
    </row>
    <row r="19" spans="1:13" s="331" customFormat="1" x14ac:dyDescent="0.3">
      <c r="A19" s="315">
        <f t="shared" si="3"/>
        <v>46217</v>
      </c>
      <c r="B19" s="330"/>
      <c r="C19" s="381"/>
      <c r="D19" s="381"/>
      <c r="E19" s="381">
        <f t="shared" si="0"/>
        <v>0</v>
      </c>
      <c r="G19" s="382">
        <v>5.0000000000000001E-3</v>
      </c>
      <c r="H19" s="336">
        <v>0.1149</v>
      </c>
      <c r="I19" s="383">
        <f t="shared" si="4"/>
        <v>0.11990000000000001</v>
      </c>
      <c r="J19" s="385">
        <f t="shared" si="1"/>
        <v>0</v>
      </c>
      <c r="K19" s="115">
        <f t="shared" si="5"/>
        <v>0</v>
      </c>
    </row>
    <row r="20" spans="1:13" x14ac:dyDescent="0.3">
      <c r="A20" s="315">
        <f t="shared" si="3"/>
        <v>46218</v>
      </c>
      <c r="B20" s="330"/>
      <c r="C20" s="381"/>
      <c r="D20" s="381"/>
      <c r="E20" s="381">
        <f t="shared" si="0"/>
        <v>0</v>
      </c>
      <c r="F20" s="331"/>
      <c r="G20" s="382">
        <v>5.0000000000000001E-3</v>
      </c>
      <c r="H20" s="336">
        <v>0.1149</v>
      </c>
      <c r="I20" s="383">
        <f t="shared" si="4"/>
        <v>0.11990000000000001</v>
      </c>
      <c r="J20" s="385">
        <f t="shared" si="1"/>
        <v>0</v>
      </c>
      <c r="K20" s="115">
        <f t="shared" si="5"/>
        <v>0</v>
      </c>
      <c r="L20" s="331"/>
      <c r="M20" s="34"/>
    </row>
    <row r="21" spans="1:13" x14ac:dyDescent="0.3">
      <c r="A21" s="315">
        <f t="shared" si="3"/>
        <v>46219</v>
      </c>
      <c r="B21" s="330"/>
      <c r="C21" s="381"/>
      <c r="D21" s="381"/>
      <c r="E21" s="381">
        <f t="shared" si="0"/>
        <v>0</v>
      </c>
      <c r="F21" s="331"/>
      <c r="G21" s="382">
        <v>5.0000000000000001E-3</v>
      </c>
      <c r="H21" s="336">
        <v>0.1149</v>
      </c>
      <c r="I21" s="383">
        <f t="shared" si="4"/>
        <v>0.11990000000000001</v>
      </c>
      <c r="J21" s="385">
        <f t="shared" si="1"/>
        <v>0</v>
      </c>
      <c r="K21" s="115">
        <f t="shared" ref="K21:K30" si="6">+E21-E20</f>
        <v>0</v>
      </c>
      <c r="L21" s="331"/>
    </row>
    <row r="22" spans="1:13" x14ac:dyDescent="0.3">
      <c r="A22" s="315">
        <f t="shared" si="3"/>
        <v>46220</v>
      </c>
      <c r="B22" s="330"/>
      <c r="C22" s="381"/>
      <c r="D22" s="381"/>
      <c r="E22" s="381">
        <f t="shared" si="0"/>
        <v>0</v>
      </c>
      <c r="F22" s="331"/>
      <c r="G22" s="382">
        <v>5.0000000000000001E-3</v>
      </c>
      <c r="H22" s="336">
        <v>0.1149</v>
      </c>
      <c r="I22" s="383">
        <f t="shared" si="4"/>
        <v>0.11990000000000001</v>
      </c>
      <c r="J22" s="385">
        <f t="shared" si="1"/>
        <v>0</v>
      </c>
      <c r="K22" s="115">
        <f t="shared" si="6"/>
        <v>0</v>
      </c>
      <c r="L22" s="331"/>
    </row>
    <row r="23" spans="1:13" x14ac:dyDescent="0.3">
      <c r="A23" s="315">
        <f t="shared" si="3"/>
        <v>46221</v>
      </c>
      <c r="B23" s="330"/>
      <c r="C23" s="414"/>
      <c r="D23" s="381"/>
      <c r="E23" s="381">
        <f t="shared" si="0"/>
        <v>0</v>
      </c>
      <c r="F23" s="331"/>
      <c r="G23" s="382">
        <v>5.0000000000000001E-3</v>
      </c>
      <c r="H23" s="336">
        <v>0.1149</v>
      </c>
      <c r="I23" s="383">
        <f t="shared" si="4"/>
        <v>0.11990000000000001</v>
      </c>
      <c r="J23" s="385">
        <f t="shared" si="1"/>
        <v>0</v>
      </c>
      <c r="K23" s="115">
        <f t="shared" si="6"/>
        <v>0</v>
      </c>
      <c r="L23" s="331"/>
    </row>
    <row r="24" spans="1:13" x14ac:dyDescent="0.3">
      <c r="A24" s="315">
        <f t="shared" si="3"/>
        <v>46222</v>
      </c>
      <c r="B24" s="330"/>
      <c r="C24" s="381"/>
      <c r="D24" s="381"/>
      <c r="E24" s="381">
        <f t="shared" si="0"/>
        <v>0</v>
      </c>
      <c r="F24" s="331"/>
      <c r="G24" s="382">
        <v>5.0000000000000001E-3</v>
      </c>
      <c r="H24" s="336">
        <v>0.1149</v>
      </c>
      <c r="I24" s="383">
        <f t="shared" si="4"/>
        <v>0.11990000000000001</v>
      </c>
      <c r="J24" s="385">
        <f t="shared" si="1"/>
        <v>0</v>
      </c>
      <c r="K24" s="115">
        <f t="shared" si="6"/>
        <v>0</v>
      </c>
      <c r="L24" s="331"/>
    </row>
    <row r="25" spans="1:13" x14ac:dyDescent="0.3">
      <c r="A25" s="315">
        <f t="shared" si="3"/>
        <v>46223</v>
      </c>
      <c r="B25" s="330"/>
      <c r="C25" s="381"/>
      <c r="D25" s="381"/>
      <c r="E25" s="381">
        <f t="shared" si="0"/>
        <v>0</v>
      </c>
      <c r="F25" s="331"/>
      <c r="G25" s="382">
        <v>5.0000000000000001E-3</v>
      </c>
      <c r="H25" s="336">
        <v>0.1149</v>
      </c>
      <c r="I25" s="383">
        <f t="shared" si="4"/>
        <v>0.11990000000000001</v>
      </c>
      <c r="J25" s="385">
        <f t="shared" si="1"/>
        <v>0</v>
      </c>
      <c r="K25" s="115">
        <f t="shared" si="6"/>
        <v>0</v>
      </c>
      <c r="L25" s="331"/>
    </row>
    <row r="26" spans="1:13" x14ac:dyDescent="0.3">
      <c r="A26" s="315">
        <f t="shared" si="3"/>
        <v>46224</v>
      </c>
      <c r="B26" s="330"/>
      <c r="C26" s="381"/>
      <c r="D26" s="381"/>
      <c r="E26" s="381">
        <f t="shared" si="0"/>
        <v>0</v>
      </c>
      <c r="F26" s="331"/>
      <c r="G26" s="382">
        <v>5.0000000000000001E-3</v>
      </c>
      <c r="H26" s="336">
        <v>0.1149</v>
      </c>
      <c r="I26" s="383">
        <f t="shared" si="4"/>
        <v>0.11990000000000001</v>
      </c>
      <c r="J26" s="385">
        <f t="shared" si="1"/>
        <v>0</v>
      </c>
      <c r="K26" s="115">
        <f t="shared" si="6"/>
        <v>0</v>
      </c>
      <c r="L26" s="331"/>
    </row>
    <row r="27" spans="1:13" x14ac:dyDescent="0.3">
      <c r="A27" s="315">
        <f t="shared" si="3"/>
        <v>46225</v>
      </c>
      <c r="B27" s="330"/>
      <c r="C27" s="381"/>
      <c r="D27" s="381"/>
      <c r="E27" s="381">
        <f t="shared" si="0"/>
        <v>0</v>
      </c>
      <c r="F27" s="331"/>
      <c r="G27" s="382">
        <v>5.0000000000000001E-3</v>
      </c>
      <c r="H27" s="336">
        <v>0.1149</v>
      </c>
      <c r="I27" s="383">
        <f t="shared" si="4"/>
        <v>0.11990000000000001</v>
      </c>
      <c r="J27" s="385">
        <f t="shared" si="1"/>
        <v>0</v>
      </c>
      <c r="K27" s="115">
        <f t="shared" si="6"/>
        <v>0</v>
      </c>
      <c r="L27" s="331"/>
    </row>
    <row r="28" spans="1:13" x14ac:dyDescent="0.3">
      <c r="A28" s="315">
        <f t="shared" si="3"/>
        <v>46226</v>
      </c>
      <c r="B28" s="330"/>
      <c r="C28" s="381"/>
      <c r="D28" s="381"/>
      <c r="E28" s="381">
        <f t="shared" si="0"/>
        <v>0</v>
      </c>
      <c r="F28" s="331"/>
      <c r="G28" s="382">
        <v>5.0000000000000001E-3</v>
      </c>
      <c r="H28" s="336">
        <v>0.1149</v>
      </c>
      <c r="I28" s="383">
        <f t="shared" si="4"/>
        <v>0.11990000000000001</v>
      </c>
      <c r="J28" s="385">
        <f t="shared" si="1"/>
        <v>0</v>
      </c>
      <c r="K28" s="115">
        <f t="shared" si="6"/>
        <v>0</v>
      </c>
      <c r="L28" s="331"/>
      <c r="M28" s="76"/>
    </row>
    <row r="29" spans="1:13" x14ac:dyDescent="0.3">
      <c r="A29" s="315">
        <f t="shared" si="3"/>
        <v>46227</v>
      </c>
      <c r="B29" s="330"/>
      <c r="C29" s="381"/>
      <c r="D29" s="381"/>
      <c r="E29" s="381">
        <f t="shared" si="0"/>
        <v>0</v>
      </c>
      <c r="F29" s="331"/>
      <c r="G29" s="382">
        <v>5.0000000000000001E-3</v>
      </c>
      <c r="H29" s="336">
        <v>0.1149</v>
      </c>
      <c r="I29" s="383">
        <f t="shared" si="4"/>
        <v>0.11990000000000001</v>
      </c>
      <c r="J29" s="385">
        <f t="shared" si="1"/>
        <v>0</v>
      </c>
      <c r="K29" s="115">
        <f t="shared" si="6"/>
        <v>0</v>
      </c>
      <c r="L29" s="331"/>
    </row>
    <row r="30" spans="1:13" x14ac:dyDescent="0.3">
      <c r="A30" s="315">
        <f t="shared" si="3"/>
        <v>46228</v>
      </c>
      <c r="B30" s="330">
        <v>0</v>
      </c>
      <c r="C30" s="381"/>
      <c r="D30" s="381"/>
      <c r="E30" s="381">
        <f t="shared" si="0"/>
        <v>0</v>
      </c>
      <c r="F30" s="331"/>
      <c r="G30" s="382">
        <v>5.0000000000000001E-3</v>
      </c>
      <c r="H30" s="336">
        <v>0.1149</v>
      </c>
      <c r="I30" s="383">
        <f t="shared" si="4"/>
        <v>0.11990000000000001</v>
      </c>
      <c r="J30" s="385">
        <f t="shared" si="1"/>
        <v>0</v>
      </c>
      <c r="K30" s="115">
        <f t="shared" si="6"/>
        <v>0</v>
      </c>
      <c r="L30" s="331"/>
    </row>
    <row r="31" spans="1:13" x14ac:dyDescent="0.3">
      <c r="A31" s="315">
        <f t="shared" si="3"/>
        <v>46229</v>
      </c>
      <c r="B31" s="330">
        <v>0</v>
      </c>
      <c r="C31" s="381"/>
      <c r="D31" s="381"/>
      <c r="E31" s="381">
        <f t="shared" si="0"/>
        <v>0</v>
      </c>
      <c r="F31" s="331"/>
      <c r="G31" s="382">
        <v>5.0000000000000001E-3</v>
      </c>
      <c r="H31" s="336">
        <v>0.1149</v>
      </c>
      <c r="I31" s="383">
        <f t="shared" si="4"/>
        <v>0.11990000000000001</v>
      </c>
      <c r="J31" s="385">
        <f t="shared" si="1"/>
        <v>0</v>
      </c>
      <c r="K31" s="115">
        <f t="shared" ref="K31:K36" si="7">+E31-E30</f>
        <v>0</v>
      </c>
      <c r="L31" s="331"/>
    </row>
    <row r="32" spans="1:13" x14ac:dyDescent="0.3">
      <c r="A32" s="315">
        <f t="shared" si="3"/>
        <v>46230</v>
      </c>
      <c r="B32" s="330">
        <v>0</v>
      </c>
      <c r="C32" s="381"/>
      <c r="D32" s="381"/>
      <c r="E32" s="381">
        <f t="shared" si="0"/>
        <v>0</v>
      </c>
      <c r="F32" s="331"/>
      <c r="G32" s="382">
        <v>5.0000000000000001E-3</v>
      </c>
      <c r="H32" s="336">
        <v>0.1149</v>
      </c>
      <c r="I32" s="383">
        <f>+H32+G32</f>
        <v>0.11990000000000001</v>
      </c>
      <c r="J32" s="385">
        <f t="shared" si="1"/>
        <v>0</v>
      </c>
      <c r="K32" s="115">
        <f t="shared" si="7"/>
        <v>0</v>
      </c>
      <c r="L32" s="331"/>
    </row>
    <row r="33" spans="1:15" x14ac:dyDescent="0.3">
      <c r="A33" s="315">
        <f t="shared" si="3"/>
        <v>46231</v>
      </c>
      <c r="B33" s="330">
        <v>0</v>
      </c>
      <c r="C33" s="381"/>
      <c r="D33" s="381"/>
      <c r="E33" s="381">
        <f>SUM(B33:D33)</f>
        <v>0</v>
      </c>
      <c r="F33" s="331"/>
      <c r="G33" s="382">
        <v>5.0000000000000001E-3</v>
      </c>
      <c r="H33" s="336">
        <v>0.1149</v>
      </c>
      <c r="I33" s="383">
        <f>+H33+G33</f>
        <v>0.11990000000000001</v>
      </c>
      <c r="J33" s="385">
        <f>IF(E33&lt;0,0,E33*I33/365)</f>
        <v>0</v>
      </c>
      <c r="K33" s="115">
        <f t="shared" si="7"/>
        <v>0</v>
      </c>
      <c r="L33" s="331"/>
    </row>
    <row r="34" spans="1:15" x14ac:dyDescent="0.3">
      <c r="A34" s="315">
        <f t="shared" si="3"/>
        <v>46232</v>
      </c>
      <c r="B34" s="330">
        <v>0</v>
      </c>
      <c r="C34" s="381"/>
      <c r="D34" s="381"/>
      <c r="E34" s="381">
        <f>SUM(B34:D34)</f>
        <v>0</v>
      </c>
      <c r="F34" s="331"/>
      <c r="G34" s="382">
        <v>5.0000000000000001E-3</v>
      </c>
      <c r="H34" s="336">
        <v>0.1149</v>
      </c>
      <c r="I34" s="383">
        <f>+H34+G34</f>
        <v>0.11990000000000001</v>
      </c>
      <c r="J34" s="385">
        <f>IF(E34&lt;0,0,E34*I34/365)</f>
        <v>0</v>
      </c>
      <c r="K34" s="115">
        <f t="shared" si="7"/>
        <v>0</v>
      </c>
      <c r="L34" s="331"/>
    </row>
    <row r="35" spans="1:15" x14ac:dyDescent="0.3">
      <c r="A35" s="315">
        <f t="shared" si="3"/>
        <v>46233</v>
      </c>
      <c r="B35" s="330">
        <v>0</v>
      </c>
      <c r="C35" s="381"/>
      <c r="D35" s="381"/>
      <c r="E35" s="381">
        <f>SUM(B35:D35)</f>
        <v>0</v>
      </c>
      <c r="F35" s="331"/>
      <c r="G35" s="382">
        <v>5.0000000000000001E-3</v>
      </c>
      <c r="H35" s="336">
        <v>0.1149</v>
      </c>
      <c r="I35" s="383">
        <f>+H35+G35</f>
        <v>0.11990000000000001</v>
      </c>
      <c r="J35" s="385">
        <f>IF(E35&lt;0,0,E35*I35/365)</f>
        <v>0</v>
      </c>
      <c r="K35" s="115">
        <f t="shared" si="7"/>
        <v>0</v>
      </c>
      <c r="L35" s="331"/>
    </row>
    <row r="36" spans="1:15" x14ac:dyDescent="0.3">
      <c r="A36" s="315">
        <f t="shared" si="3"/>
        <v>46234</v>
      </c>
      <c r="B36" s="330">
        <v>0</v>
      </c>
      <c r="C36" s="381"/>
      <c r="D36" s="381"/>
      <c r="E36" s="381">
        <f>SUM(B36:D36)</f>
        <v>0</v>
      </c>
      <c r="F36" s="331"/>
      <c r="G36" s="382">
        <v>5.0000000000000001E-3</v>
      </c>
      <c r="H36" s="336">
        <v>0.1149</v>
      </c>
      <c r="I36" s="383">
        <f>+H36+G36</f>
        <v>0.11990000000000001</v>
      </c>
      <c r="J36" s="385">
        <f>IF(E36&lt;0,0,E36*I36/365)</f>
        <v>0</v>
      </c>
      <c r="K36" s="115">
        <f t="shared" si="7"/>
        <v>0</v>
      </c>
      <c r="L36" s="331"/>
    </row>
    <row r="37" spans="1:15" x14ac:dyDescent="0.3">
      <c r="A37" s="331"/>
      <c r="B37" s="332">
        <v>2818139.81</v>
      </c>
      <c r="C37" s="332"/>
      <c r="D37" s="332"/>
      <c r="E37" s="332"/>
      <c r="F37" s="331"/>
      <c r="G37" s="726"/>
      <c r="H37" s="726"/>
      <c r="I37" s="331"/>
      <c r="J37" s="727">
        <f>SUM(J6:J36)</f>
        <v>0</v>
      </c>
      <c r="K37" s="379"/>
      <c r="L37" s="728"/>
    </row>
    <row r="38" spans="1:15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5" x14ac:dyDescent="0.3">
      <c r="G39" s="965" t="s">
        <v>22</v>
      </c>
      <c r="H39" s="965"/>
      <c r="I39" s="965"/>
    </row>
    <row r="40" spans="1:15" x14ac:dyDescent="0.3">
      <c r="G40" s="966"/>
      <c r="H40" s="966"/>
      <c r="I40" s="966"/>
      <c r="J40" s="214" t="s">
        <v>0</v>
      </c>
    </row>
    <row r="41" spans="1:15" x14ac:dyDescent="0.3">
      <c r="G41" s="968" t="s">
        <v>15</v>
      </c>
      <c r="H41" s="968"/>
      <c r="I41" s="968"/>
      <c r="J41" s="215">
        <v>631006.18556480564</v>
      </c>
      <c r="K41" s="1"/>
      <c r="L41" s="325"/>
      <c r="M41" s="34"/>
      <c r="N41" s="325"/>
      <c r="O41" s="325"/>
    </row>
    <row r="42" spans="1:15" ht="17.399999999999999" x14ac:dyDescent="0.3">
      <c r="A42" s="343" t="s">
        <v>260</v>
      </c>
      <c r="B42" s="344" t="s">
        <v>353</v>
      </c>
      <c r="G42" s="968" t="s">
        <v>49</v>
      </c>
      <c r="H42" s="968"/>
      <c r="I42" s="968"/>
      <c r="J42" s="215"/>
      <c r="K42" s="748"/>
      <c r="L42" s="708"/>
      <c r="M42" s="34"/>
      <c r="O42" s="34"/>
    </row>
    <row r="43" spans="1:15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  <c r="K43" s="34"/>
      <c r="M43" s="2"/>
      <c r="O43" s="34"/>
    </row>
    <row r="44" spans="1:15" x14ac:dyDescent="0.3">
      <c r="G44" s="966"/>
      <c r="H44" s="966"/>
      <c r="I44" s="966"/>
      <c r="J44" s="966"/>
      <c r="K44" s="252"/>
      <c r="O44" s="34"/>
    </row>
    <row r="45" spans="1:15" ht="16.2" customHeight="1" thickBot="1" x14ac:dyDescent="0.35">
      <c r="G45" s="974" t="s">
        <v>199</v>
      </c>
      <c r="H45" s="974"/>
      <c r="I45" s="974"/>
      <c r="J45" s="217">
        <f>J37+J43</f>
        <v>0</v>
      </c>
    </row>
    <row r="46" spans="1:15" x14ac:dyDescent="0.3">
      <c r="G46" s="967"/>
      <c r="H46" s="967"/>
      <c r="I46" s="967"/>
      <c r="J46" s="967"/>
      <c r="K46" s="34"/>
    </row>
    <row r="47" spans="1:15" x14ac:dyDescent="0.3">
      <c r="G47" s="991" t="s">
        <v>31</v>
      </c>
      <c r="H47" s="991"/>
      <c r="I47" s="991"/>
      <c r="J47" s="220">
        <f>J41+J45-J42</f>
        <v>631006.18556480564</v>
      </c>
      <c r="K47" s="34"/>
    </row>
    <row r="48" spans="1:15" x14ac:dyDescent="0.3">
      <c r="J48" s="325"/>
    </row>
    <row r="49" spans="10:11" x14ac:dyDescent="0.3">
      <c r="J49" s="325"/>
      <c r="K49" s="34"/>
    </row>
    <row r="50" spans="10:11" x14ac:dyDescent="0.3">
      <c r="J50" s="325"/>
      <c r="K50" s="34"/>
    </row>
    <row r="51" spans="10:11" x14ac:dyDescent="0.3">
      <c r="J51" s="34"/>
    </row>
    <row r="52" spans="10:11" x14ac:dyDescent="0.3">
      <c r="J52" s="257"/>
    </row>
  </sheetData>
  <autoFilter ref="A1:K37" xr:uid="{381ED9C3-DB5D-41CC-B614-CE5A9821E90C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20">
    <mergeCell ref="A1:J1"/>
    <mergeCell ref="A2:I2"/>
    <mergeCell ref="A3:J3"/>
    <mergeCell ref="A4:A5"/>
    <mergeCell ref="H4:H5"/>
    <mergeCell ref="J4:J5"/>
    <mergeCell ref="G47:I47"/>
    <mergeCell ref="G39:I39"/>
    <mergeCell ref="G44:J44"/>
    <mergeCell ref="G46:J46"/>
    <mergeCell ref="G40:I40"/>
    <mergeCell ref="G45:I45"/>
    <mergeCell ref="A38:J38"/>
    <mergeCell ref="G43:I43"/>
    <mergeCell ref="G42:I42"/>
    <mergeCell ref="B4:B5"/>
    <mergeCell ref="G41:I41"/>
    <mergeCell ref="G4:G5"/>
    <mergeCell ref="E4:E5"/>
    <mergeCell ref="I4:I5"/>
  </mergeCells>
  <printOptions horizontalCentered="1" verticalCentered="1"/>
  <pageMargins left="0.75" right="0.75" top="0.5" bottom="0.5" header="0.5" footer="0.5"/>
  <pageSetup scale="76" orientation="landscape" r:id="rId1"/>
  <headerFooter alignWithMargins="0"/>
  <ignoredErrors>
    <ignoredError sqref="E6:E32" formulaRange="1"/>
  </ignoredError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F794-0474-48BB-B4AC-7D0769342EE7}">
  <sheetPr>
    <tabColor theme="0"/>
    <pageSetUpPr fitToPage="1"/>
  </sheetPr>
  <dimension ref="A1:M50"/>
  <sheetViews>
    <sheetView showGridLines="0" view="pageBreakPreview" topLeftCell="A25" zoomScaleNormal="100" zoomScaleSheetLayoutView="100" workbookViewId="0">
      <selection activeCell="J41" sqref="J41"/>
    </sheetView>
  </sheetViews>
  <sheetFormatPr defaultColWidth="10.6328125" defaultRowHeight="13.8" x14ac:dyDescent="0.3"/>
  <cols>
    <col min="1" max="1" width="9.6328125" style="3" customWidth="1"/>
    <col min="2" max="2" width="12.453125" style="2" customWidth="1"/>
    <col min="3" max="3" width="10.90625" style="2" bestFit="1" customWidth="1"/>
    <col min="4" max="4" width="11" style="2" customWidth="1"/>
    <col min="5" max="5" width="12" style="2" customWidth="1"/>
    <col min="6" max="6" width="2.453125" style="3" customWidth="1"/>
    <col min="7" max="7" width="7.90625" style="3" customWidth="1"/>
    <col min="8" max="8" width="9.81640625" style="31" customWidth="1"/>
    <col min="9" max="9" width="11.6328125" style="3" customWidth="1"/>
    <col min="10" max="10" width="12.7265625" style="3" bestFit="1" customWidth="1"/>
    <col min="11" max="11" width="19" style="3" bestFit="1" customWidth="1"/>
    <col min="12" max="12" width="13.08984375" style="3" bestFit="1" customWidth="1"/>
    <col min="13" max="13" width="12.54296875" style="3" customWidth="1"/>
    <col min="14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36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330">
        <v>22829890.82</v>
      </c>
    </row>
    <row r="4" spans="1:13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G4" s="976" t="s">
        <v>168</v>
      </c>
      <c r="H4" s="976" t="s">
        <v>54</v>
      </c>
      <c r="I4" s="976" t="s">
        <v>169</v>
      </c>
      <c r="J4" s="971" t="s">
        <v>170</v>
      </c>
    </row>
    <row r="5" spans="1:13" x14ac:dyDescent="0.3">
      <c r="A5" s="958"/>
      <c r="B5" s="961"/>
      <c r="C5" s="67" t="s">
        <v>7</v>
      </c>
      <c r="D5" s="67" t="s">
        <v>8</v>
      </c>
      <c r="E5" s="960"/>
      <c r="G5" s="977"/>
      <c r="H5" s="977"/>
      <c r="I5" s="977"/>
      <c r="J5" s="972"/>
    </row>
    <row r="6" spans="1:13" x14ac:dyDescent="0.3">
      <c r="A6" s="603">
        <v>46204</v>
      </c>
      <c r="B6" s="13">
        <v>0</v>
      </c>
      <c r="C6" s="41"/>
      <c r="D6" s="14"/>
      <c r="E6" s="5">
        <f>SUM(B6:D6)</f>
        <v>0</v>
      </c>
      <c r="G6" s="18">
        <v>1.2500000000000001E-2</v>
      </c>
      <c r="H6" s="588">
        <v>0.1149</v>
      </c>
      <c r="I6" s="16">
        <f>+H6+G6</f>
        <v>0.12740000000000001</v>
      </c>
      <c r="J6" s="385">
        <f>IF(E6&lt;0,0,E6*I6/365)</f>
        <v>0</v>
      </c>
      <c r="K6" s="34">
        <f>+E6-K3</f>
        <v>-22829890.82</v>
      </c>
      <c r="L6" s="260"/>
    </row>
    <row r="7" spans="1:13" x14ac:dyDescent="0.3">
      <c r="A7" s="603">
        <f>+A6+1</f>
        <v>46205</v>
      </c>
      <c r="B7" s="330">
        <v>0</v>
      </c>
      <c r="C7" s="41"/>
      <c r="D7" s="14"/>
      <c r="E7" s="5">
        <f t="shared" ref="E7:E32" si="0">SUM(B7:D7)</f>
        <v>0</v>
      </c>
      <c r="G7" s="18">
        <v>1.2500000000000001E-2</v>
      </c>
      <c r="H7" s="588">
        <v>0.1149</v>
      </c>
      <c r="I7" s="16">
        <f t="shared" ref="I7:I32" si="1">+H7+G7</f>
        <v>0.12740000000000001</v>
      </c>
      <c r="J7" s="385">
        <f t="shared" ref="J7:J32" si="2">IF(E7&lt;0,0,E7*I7/365)</f>
        <v>0</v>
      </c>
      <c r="K7" s="34">
        <f>+E7-E6</f>
        <v>0</v>
      </c>
    </row>
    <row r="8" spans="1:13" x14ac:dyDescent="0.3">
      <c r="A8" s="603">
        <f t="shared" ref="A8:A36" si="3">+A7+1</f>
        <v>46206</v>
      </c>
      <c r="B8" s="330">
        <v>0</v>
      </c>
      <c r="C8" s="41"/>
      <c r="D8" s="14"/>
      <c r="E8" s="5">
        <f>SUM(B8:D8)</f>
        <v>0</v>
      </c>
      <c r="G8" s="18">
        <v>1.2500000000000001E-2</v>
      </c>
      <c r="H8" s="588">
        <v>0.1149</v>
      </c>
      <c r="I8" s="16">
        <f t="shared" si="1"/>
        <v>0.12740000000000001</v>
      </c>
      <c r="J8" s="385">
        <f t="shared" si="2"/>
        <v>0</v>
      </c>
      <c r="K8" s="34">
        <f t="shared" ref="K8:K13" si="4">+E8-E7</f>
        <v>0</v>
      </c>
    </row>
    <row r="9" spans="1:13" x14ac:dyDescent="0.3">
      <c r="A9" s="603">
        <f t="shared" si="3"/>
        <v>46207</v>
      </c>
      <c r="B9" s="330">
        <v>0</v>
      </c>
      <c r="C9" s="41"/>
      <c r="D9" s="14"/>
      <c r="E9" s="5">
        <f t="shared" si="0"/>
        <v>0</v>
      </c>
      <c r="G9" s="18">
        <v>1.2500000000000001E-2</v>
      </c>
      <c r="H9" s="588">
        <v>0.1149</v>
      </c>
      <c r="I9" s="16">
        <f t="shared" si="1"/>
        <v>0.12740000000000001</v>
      </c>
      <c r="J9" s="385">
        <f t="shared" si="2"/>
        <v>0</v>
      </c>
      <c r="K9" s="34">
        <f t="shared" si="4"/>
        <v>0</v>
      </c>
    </row>
    <row r="10" spans="1:13" s="331" customFormat="1" x14ac:dyDescent="0.3">
      <c r="A10" s="315">
        <f t="shared" si="3"/>
        <v>46208</v>
      </c>
      <c r="B10" s="330">
        <v>0</v>
      </c>
      <c r="C10" s="381"/>
      <c r="D10" s="381"/>
      <c r="E10" s="381">
        <f>SUM(B10:D10)</f>
        <v>0</v>
      </c>
      <c r="G10" s="595">
        <v>1.2500000000000001E-2</v>
      </c>
      <c r="H10" s="588">
        <v>0.1149</v>
      </c>
      <c r="I10" s="383">
        <f t="shared" si="1"/>
        <v>0.12740000000000001</v>
      </c>
      <c r="J10" s="385">
        <f t="shared" si="2"/>
        <v>0</v>
      </c>
      <c r="K10" s="378">
        <f t="shared" si="4"/>
        <v>0</v>
      </c>
      <c r="L10" s="379"/>
      <c r="M10" s="378"/>
    </row>
    <row r="11" spans="1:13" x14ac:dyDescent="0.3">
      <c r="A11" s="6">
        <f t="shared" si="3"/>
        <v>46209</v>
      </c>
      <c r="B11" s="330">
        <v>0</v>
      </c>
      <c r="C11" s="5"/>
      <c r="D11" s="5"/>
      <c r="E11" s="5">
        <f>SUM(B11:D11)</f>
        <v>0</v>
      </c>
      <c r="G11" s="18">
        <v>1.2500000000000001E-2</v>
      </c>
      <c r="H11" s="588">
        <v>0.1149</v>
      </c>
      <c r="I11" s="16">
        <f t="shared" si="1"/>
        <v>0.12740000000000001</v>
      </c>
      <c r="J11" s="385">
        <f t="shared" si="2"/>
        <v>0</v>
      </c>
      <c r="K11" s="34">
        <f t="shared" si="4"/>
        <v>0</v>
      </c>
    </row>
    <row r="12" spans="1:13" x14ac:dyDescent="0.3">
      <c r="A12" s="6">
        <f t="shared" si="3"/>
        <v>46210</v>
      </c>
      <c r="B12" s="330">
        <v>0</v>
      </c>
      <c r="C12" s="5"/>
      <c r="D12" s="5"/>
      <c r="E12" s="5">
        <f t="shared" si="0"/>
        <v>0</v>
      </c>
      <c r="G12" s="18">
        <v>1.2500000000000001E-2</v>
      </c>
      <c r="H12" s="588">
        <v>0.1149</v>
      </c>
      <c r="I12" s="16">
        <f t="shared" si="1"/>
        <v>0.12740000000000001</v>
      </c>
      <c r="J12" s="385">
        <f t="shared" si="2"/>
        <v>0</v>
      </c>
      <c r="K12" s="34">
        <f t="shared" si="4"/>
        <v>0</v>
      </c>
    </row>
    <row r="13" spans="1:13" s="331" customFormat="1" x14ac:dyDescent="0.3">
      <c r="A13" s="315">
        <f t="shared" si="3"/>
        <v>46211</v>
      </c>
      <c r="B13" s="330">
        <v>0</v>
      </c>
      <c r="C13" s="381"/>
      <c r="D13" s="381"/>
      <c r="E13" s="381">
        <f>SUM(B13:D13)</f>
        <v>0</v>
      </c>
      <c r="G13" s="595">
        <v>1.2500000000000001E-2</v>
      </c>
      <c r="H13" s="588">
        <v>0.1149</v>
      </c>
      <c r="I13" s="383">
        <f t="shared" si="1"/>
        <v>0.12740000000000001</v>
      </c>
      <c r="J13" s="385">
        <f t="shared" si="2"/>
        <v>0</v>
      </c>
      <c r="K13" s="378">
        <f t="shared" si="4"/>
        <v>0</v>
      </c>
    </row>
    <row r="14" spans="1:13" x14ac:dyDescent="0.3">
      <c r="A14" s="6">
        <f t="shared" si="3"/>
        <v>46212</v>
      </c>
      <c r="B14" s="330">
        <v>0</v>
      </c>
      <c r="C14" s="5"/>
      <c r="D14" s="5"/>
      <c r="E14" s="5">
        <f t="shared" si="0"/>
        <v>0</v>
      </c>
      <c r="G14" s="18">
        <v>1.2500000000000001E-2</v>
      </c>
      <c r="H14" s="588">
        <v>0.1149</v>
      </c>
      <c r="I14" s="16">
        <f t="shared" si="1"/>
        <v>0.12740000000000001</v>
      </c>
      <c r="J14" s="385">
        <f t="shared" si="2"/>
        <v>0</v>
      </c>
      <c r="K14" s="34">
        <f t="shared" ref="K14:K32" si="5">+E14-E13</f>
        <v>0</v>
      </c>
    </row>
    <row r="15" spans="1:13" x14ac:dyDescent="0.3">
      <c r="A15" s="6">
        <f t="shared" si="3"/>
        <v>46213</v>
      </c>
      <c r="B15" s="330">
        <v>0</v>
      </c>
      <c r="C15" s="5"/>
      <c r="D15" s="5"/>
      <c r="E15" s="5">
        <f t="shared" si="0"/>
        <v>0</v>
      </c>
      <c r="G15" s="18">
        <v>1.2500000000000001E-2</v>
      </c>
      <c r="H15" s="588">
        <v>0.1149</v>
      </c>
      <c r="I15" s="16">
        <f t="shared" si="1"/>
        <v>0.12740000000000001</v>
      </c>
      <c r="J15" s="385">
        <f t="shared" si="2"/>
        <v>0</v>
      </c>
      <c r="K15" s="34">
        <f>+E15-E14</f>
        <v>0</v>
      </c>
    </row>
    <row r="16" spans="1:13" x14ac:dyDescent="0.3">
      <c r="A16" s="6">
        <f t="shared" si="3"/>
        <v>46214</v>
      </c>
      <c r="B16" s="330">
        <v>0</v>
      </c>
      <c r="C16" s="5"/>
      <c r="D16" s="5"/>
      <c r="E16" s="5">
        <f t="shared" si="0"/>
        <v>0</v>
      </c>
      <c r="G16" s="18">
        <v>1.2500000000000001E-2</v>
      </c>
      <c r="H16" s="588">
        <v>0.1149</v>
      </c>
      <c r="I16" s="16">
        <f t="shared" si="1"/>
        <v>0.12740000000000001</v>
      </c>
      <c r="J16" s="385">
        <f t="shared" si="2"/>
        <v>0</v>
      </c>
      <c r="K16" s="34">
        <f t="shared" si="5"/>
        <v>0</v>
      </c>
    </row>
    <row r="17" spans="1:13" x14ac:dyDescent="0.3">
      <c r="A17" s="6">
        <f t="shared" si="3"/>
        <v>46215</v>
      </c>
      <c r="B17" s="330">
        <v>0</v>
      </c>
      <c r="C17" s="5"/>
      <c r="D17" s="5"/>
      <c r="E17" s="5">
        <f t="shared" si="0"/>
        <v>0</v>
      </c>
      <c r="G17" s="18">
        <v>1.2500000000000001E-2</v>
      </c>
      <c r="H17" s="588">
        <v>0.1149</v>
      </c>
      <c r="I17" s="16">
        <f t="shared" si="1"/>
        <v>0.12740000000000001</v>
      </c>
      <c r="J17" s="385">
        <f t="shared" si="2"/>
        <v>0</v>
      </c>
      <c r="K17" s="34">
        <f t="shared" si="5"/>
        <v>0</v>
      </c>
      <c r="L17" s="325"/>
      <c r="M17" s="378"/>
    </row>
    <row r="18" spans="1:13" x14ac:dyDescent="0.3">
      <c r="A18" s="6">
        <f t="shared" si="3"/>
        <v>46216</v>
      </c>
      <c r="B18" s="330">
        <v>0</v>
      </c>
      <c r="C18" s="5"/>
      <c r="D18" s="5"/>
      <c r="E18" s="5">
        <f t="shared" si="0"/>
        <v>0</v>
      </c>
      <c r="G18" s="18">
        <v>1.2500000000000001E-2</v>
      </c>
      <c r="H18" s="588">
        <v>0.1149</v>
      </c>
      <c r="I18" s="16">
        <f t="shared" si="1"/>
        <v>0.12740000000000001</v>
      </c>
      <c r="J18" s="385">
        <f t="shared" si="2"/>
        <v>0</v>
      </c>
      <c r="K18" s="34">
        <f t="shared" si="5"/>
        <v>0</v>
      </c>
    </row>
    <row r="19" spans="1:13" x14ac:dyDescent="0.3">
      <c r="A19" s="6">
        <f t="shared" si="3"/>
        <v>46217</v>
      </c>
      <c r="B19" s="330">
        <v>0</v>
      </c>
      <c r="C19" s="5"/>
      <c r="D19" s="5"/>
      <c r="E19" s="5">
        <f t="shared" si="0"/>
        <v>0</v>
      </c>
      <c r="G19" s="18">
        <v>1.2500000000000001E-2</v>
      </c>
      <c r="H19" s="588">
        <v>0.1149</v>
      </c>
      <c r="I19" s="16">
        <f t="shared" si="1"/>
        <v>0.12740000000000001</v>
      </c>
      <c r="J19" s="385">
        <f t="shared" si="2"/>
        <v>0</v>
      </c>
      <c r="K19" s="34">
        <f t="shared" si="5"/>
        <v>0</v>
      </c>
      <c r="M19" s="3" t="s">
        <v>50</v>
      </c>
    </row>
    <row r="20" spans="1:13" x14ac:dyDescent="0.3">
      <c r="A20" s="6">
        <f t="shared" si="3"/>
        <v>46218</v>
      </c>
      <c r="B20" s="330">
        <v>0</v>
      </c>
      <c r="C20" s="5"/>
      <c r="D20" s="5"/>
      <c r="E20" s="5">
        <f t="shared" si="0"/>
        <v>0</v>
      </c>
      <c r="G20" s="18">
        <v>1.2500000000000001E-2</v>
      </c>
      <c r="H20" s="588">
        <v>0.1149</v>
      </c>
      <c r="I20" s="16">
        <f t="shared" si="1"/>
        <v>0.12740000000000001</v>
      </c>
      <c r="J20" s="385">
        <f t="shared" si="2"/>
        <v>0</v>
      </c>
      <c r="K20" s="34">
        <f t="shared" si="5"/>
        <v>0</v>
      </c>
    </row>
    <row r="21" spans="1:13" x14ac:dyDescent="0.3">
      <c r="A21" s="6">
        <f t="shared" si="3"/>
        <v>46219</v>
      </c>
      <c r="B21" s="330">
        <v>0</v>
      </c>
      <c r="C21" s="5"/>
      <c r="D21" s="5"/>
      <c r="E21" s="5">
        <f t="shared" si="0"/>
        <v>0</v>
      </c>
      <c r="G21" s="18">
        <v>1.2500000000000001E-2</v>
      </c>
      <c r="H21" s="588">
        <v>0.1149</v>
      </c>
      <c r="I21" s="16">
        <f t="shared" si="1"/>
        <v>0.12740000000000001</v>
      </c>
      <c r="J21" s="385">
        <f t="shared" si="2"/>
        <v>0</v>
      </c>
      <c r="K21" s="34">
        <f t="shared" si="5"/>
        <v>0</v>
      </c>
    </row>
    <row r="22" spans="1:13" x14ac:dyDescent="0.3">
      <c r="A22" s="6">
        <f t="shared" si="3"/>
        <v>46220</v>
      </c>
      <c r="B22" s="330">
        <v>0</v>
      </c>
      <c r="C22" s="5"/>
      <c r="D22" s="5"/>
      <c r="E22" s="5">
        <f t="shared" si="0"/>
        <v>0</v>
      </c>
      <c r="G22" s="18">
        <v>1.2500000000000001E-2</v>
      </c>
      <c r="H22" s="588">
        <v>0.1149</v>
      </c>
      <c r="I22" s="16">
        <f t="shared" si="1"/>
        <v>0.12740000000000001</v>
      </c>
      <c r="J22" s="385">
        <f t="shared" si="2"/>
        <v>0</v>
      </c>
      <c r="K22" s="34">
        <f>+E22-E21</f>
        <v>0</v>
      </c>
    </row>
    <row r="23" spans="1:13" x14ac:dyDescent="0.3">
      <c r="A23" s="6">
        <f t="shared" si="3"/>
        <v>46221</v>
      </c>
      <c r="B23" s="330">
        <v>0</v>
      </c>
      <c r="C23" s="5"/>
      <c r="D23" s="5"/>
      <c r="E23" s="5">
        <f t="shared" si="0"/>
        <v>0</v>
      </c>
      <c r="G23" s="18">
        <v>1.2500000000000001E-2</v>
      </c>
      <c r="H23" s="588">
        <v>0.1149</v>
      </c>
      <c r="I23" s="16">
        <f t="shared" si="1"/>
        <v>0.12740000000000001</v>
      </c>
      <c r="J23" s="385">
        <f t="shared" si="2"/>
        <v>0</v>
      </c>
      <c r="K23" s="34">
        <f t="shared" si="5"/>
        <v>0</v>
      </c>
    </row>
    <row r="24" spans="1:13" x14ac:dyDescent="0.3">
      <c r="A24" s="6">
        <f t="shared" si="3"/>
        <v>46222</v>
      </c>
      <c r="B24" s="330">
        <v>0</v>
      </c>
      <c r="C24" s="5"/>
      <c r="D24" s="5"/>
      <c r="E24" s="5">
        <f t="shared" si="0"/>
        <v>0</v>
      </c>
      <c r="G24" s="18">
        <v>1.2500000000000001E-2</v>
      </c>
      <c r="H24" s="588">
        <v>0.1149</v>
      </c>
      <c r="I24" s="16">
        <f t="shared" si="1"/>
        <v>0.12740000000000001</v>
      </c>
      <c r="J24" s="385">
        <f t="shared" si="2"/>
        <v>0</v>
      </c>
      <c r="K24" s="34">
        <f t="shared" si="5"/>
        <v>0</v>
      </c>
    </row>
    <row r="25" spans="1:13" x14ac:dyDescent="0.3">
      <c r="A25" s="6">
        <f t="shared" si="3"/>
        <v>46223</v>
      </c>
      <c r="B25" s="330">
        <v>0</v>
      </c>
      <c r="C25" s="5"/>
      <c r="D25" s="5"/>
      <c r="E25" s="5">
        <f t="shared" si="0"/>
        <v>0</v>
      </c>
      <c r="G25" s="18">
        <v>1.2500000000000001E-2</v>
      </c>
      <c r="H25" s="588">
        <v>0.1149</v>
      </c>
      <c r="I25" s="16">
        <f t="shared" si="1"/>
        <v>0.12740000000000001</v>
      </c>
      <c r="J25" s="385">
        <f t="shared" si="2"/>
        <v>0</v>
      </c>
      <c r="K25" s="34">
        <f t="shared" si="5"/>
        <v>0</v>
      </c>
    </row>
    <row r="26" spans="1:13" x14ac:dyDescent="0.3">
      <c r="A26" s="6">
        <f t="shared" si="3"/>
        <v>46224</v>
      </c>
      <c r="B26" s="330">
        <v>0</v>
      </c>
      <c r="C26" s="5"/>
      <c r="D26" s="5"/>
      <c r="E26" s="5">
        <f t="shared" si="0"/>
        <v>0</v>
      </c>
      <c r="G26" s="18">
        <v>1.2500000000000001E-2</v>
      </c>
      <c r="H26" s="588">
        <v>0.1149</v>
      </c>
      <c r="I26" s="16">
        <f t="shared" si="1"/>
        <v>0.12740000000000001</v>
      </c>
      <c r="J26" s="385">
        <f t="shared" si="2"/>
        <v>0</v>
      </c>
      <c r="K26" s="34">
        <f t="shared" si="5"/>
        <v>0</v>
      </c>
    </row>
    <row r="27" spans="1:13" x14ac:dyDescent="0.3">
      <c r="A27" s="6">
        <f t="shared" si="3"/>
        <v>46225</v>
      </c>
      <c r="B27" s="330">
        <v>0</v>
      </c>
      <c r="C27" s="5"/>
      <c r="D27" s="5"/>
      <c r="E27" s="5">
        <f t="shared" si="0"/>
        <v>0</v>
      </c>
      <c r="G27" s="18">
        <v>1.2500000000000001E-2</v>
      </c>
      <c r="H27" s="588">
        <v>0.1149</v>
      </c>
      <c r="I27" s="16">
        <f t="shared" si="1"/>
        <v>0.12740000000000001</v>
      </c>
      <c r="J27" s="385">
        <f t="shared" si="2"/>
        <v>0</v>
      </c>
      <c r="K27" s="34">
        <f t="shared" si="5"/>
        <v>0</v>
      </c>
    </row>
    <row r="28" spans="1:13" x14ac:dyDescent="0.3">
      <c r="A28" s="6">
        <f t="shared" si="3"/>
        <v>46226</v>
      </c>
      <c r="B28" s="330">
        <v>0</v>
      </c>
      <c r="C28" s="5"/>
      <c r="D28" s="5"/>
      <c r="E28" s="5">
        <f t="shared" si="0"/>
        <v>0</v>
      </c>
      <c r="G28" s="18">
        <v>1.2500000000000001E-2</v>
      </c>
      <c r="H28" s="588">
        <v>0.1149</v>
      </c>
      <c r="I28" s="16">
        <f t="shared" si="1"/>
        <v>0.12740000000000001</v>
      </c>
      <c r="J28" s="385">
        <f t="shared" si="2"/>
        <v>0</v>
      </c>
      <c r="K28" s="34">
        <f t="shared" si="5"/>
        <v>0</v>
      </c>
    </row>
    <row r="29" spans="1:13" x14ac:dyDescent="0.3">
      <c r="A29" s="6">
        <f t="shared" si="3"/>
        <v>46227</v>
      </c>
      <c r="B29" s="330">
        <v>0</v>
      </c>
      <c r="C29" s="5"/>
      <c r="D29" s="5"/>
      <c r="E29" s="5">
        <f t="shared" si="0"/>
        <v>0</v>
      </c>
      <c r="G29" s="18">
        <v>1.2500000000000001E-2</v>
      </c>
      <c r="H29" s="588">
        <v>0.1149</v>
      </c>
      <c r="I29" s="16">
        <f t="shared" si="1"/>
        <v>0.12740000000000001</v>
      </c>
      <c r="J29" s="385">
        <f t="shared" si="2"/>
        <v>0</v>
      </c>
      <c r="K29" s="34">
        <f>+E29-E28</f>
        <v>0</v>
      </c>
    </row>
    <row r="30" spans="1:13" x14ac:dyDescent="0.3">
      <c r="A30" s="6">
        <f t="shared" si="3"/>
        <v>46228</v>
      </c>
      <c r="B30" s="330">
        <v>0</v>
      </c>
      <c r="C30" s="5"/>
      <c r="D30" s="5"/>
      <c r="E30" s="5">
        <f t="shared" si="0"/>
        <v>0</v>
      </c>
      <c r="G30" s="18">
        <v>1.2500000000000001E-2</v>
      </c>
      <c r="H30" s="588">
        <v>0.1149</v>
      </c>
      <c r="I30" s="16">
        <f t="shared" si="1"/>
        <v>0.12740000000000001</v>
      </c>
      <c r="J30" s="385">
        <f t="shared" si="2"/>
        <v>0</v>
      </c>
      <c r="K30" s="34">
        <f t="shared" si="5"/>
        <v>0</v>
      </c>
    </row>
    <row r="31" spans="1:13" x14ac:dyDescent="0.3">
      <c r="A31" s="6">
        <f t="shared" si="3"/>
        <v>46229</v>
      </c>
      <c r="B31" s="330">
        <v>0</v>
      </c>
      <c r="C31" s="5"/>
      <c r="D31" s="5"/>
      <c r="E31" s="5">
        <f t="shared" si="0"/>
        <v>0</v>
      </c>
      <c r="G31" s="18">
        <v>1.2500000000000001E-2</v>
      </c>
      <c r="H31" s="588">
        <v>0.1149</v>
      </c>
      <c r="I31" s="16">
        <f t="shared" si="1"/>
        <v>0.12740000000000001</v>
      </c>
      <c r="J31" s="385">
        <f t="shared" si="2"/>
        <v>0</v>
      </c>
      <c r="K31" s="34">
        <f>+E31-E30</f>
        <v>0</v>
      </c>
    </row>
    <row r="32" spans="1:13" x14ac:dyDescent="0.3">
      <c r="A32" s="6">
        <f t="shared" si="3"/>
        <v>46230</v>
      </c>
      <c r="B32" s="330">
        <v>0</v>
      </c>
      <c r="C32" s="5"/>
      <c r="D32" s="5"/>
      <c r="E32" s="5">
        <f t="shared" si="0"/>
        <v>0</v>
      </c>
      <c r="G32" s="18">
        <v>1.2500000000000001E-2</v>
      </c>
      <c r="H32" s="588">
        <v>0.1149</v>
      </c>
      <c r="I32" s="16">
        <f t="shared" si="1"/>
        <v>0.12740000000000001</v>
      </c>
      <c r="J32" s="385">
        <f t="shared" si="2"/>
        <v>0</v>
      </c>
      <c r="K32" s="34">
        <f t="shared" si="5"/>
        <v>0</v>
      </c>
    </row>
    <row r="33" spans="1:12" x14ac:dyDescent="0.3">
      <c r="A33" s="6">
        <f t="shared" si="3"/>
        <v>46231</v>
      </c>
      <c r="B33" s="330">
        <v>0</v>
      </c>
      <c r="C33" s="5"/>
      <c r="D33" s="5"/>
      <c r="E33" s="5">
        <f>SUM(B33:D33)</f>
        <v>0</v>
      </c>
      <c r="G33" s="18">
        <v>1.2500000000000001E-2</v>
      </c>
      <c r="H33" s="588">
        <v>0.1149</v>
      </c>
      <c r="I33" s="16">
        <f>+H33+G33</f>
        <v>0.12740000000000001</v>
      </c>
      <c r="J33" s="385">
        <f>IF(E33&lt;0,0,E33*I33/365)</f>
        <v>0</v>
      </c>
      <c r="K33" s="34">
        <f>+E33-E32</f>
        <v>0</v>
      </c>
    </row>
    <row r="34" spans="1:12" x14ac:dyDescent="0.3">
      <c r="A34" s="6">
        <f t="shared" si="3"/>
        <v>46232</v>
      </c>
      <c r="B34" s="330">
        <v>0</v>
      </c>
      <c r="C34" s="5"/>
      <c r="D34" s="5"/>
      <c r="E34" s="5">
        <f>SUM(B34:D34)</f>
        <v>0</v>
      </c>
      <c r="G34" s="18">
        <v>1.2500000000000001E-2</v>
      </c>
      <c r="H34" s="588">
        <v>0.1149</v>
      </c>
      <c r="I34" s="16">
        <f>+H34+G34</f>
        <v>0.12740000000000001</v>
      </c>
      <c r="J34" s="385">
        <f>IF(E34&lt;0,0,E34*I34/365)</f>
        <v>0</v>
      </c>
      <c r="K34" s="34">
        <f>+E34-E33</f>
        <v>0</v>
      </c>
    </row>
    <row r="35" spans="1:12" x14ac:dyDescent="0.3">
      <c r="A35" s="6">
        <f t="shared" si="3"/>
        <v>46233</v>
      </c>
      <c r="B35" s="330">
        <v>0</v>
      </c>
      <c r="C35" s="5"/>
      <c r="D35" s="5"/>
      <c r="E35" s="5">
        <f>SUM(B35:D35)</f>
        <v>0</v>
      </c>
      <c r="G35" s="18">
        <v>1.2500000000000001E-2</v>
      </c>
      <c r="H35" s="588">
        <v>0.1149</v>
      </c>
      <c r="I35" s="16">
        <f>+H35+G35</f>
        <v>0.12740000000000001</v>
      </c>
      <c r="J35" s="385">
        <f>IF(E35&lt;0,0,E35*I35/365)</f>
        <v>0</v>
      </c>
      <c r="K35" s="34">
        <f>+E35-E34</f>
        <v>0</v>
      </c>
    </row>
    <row r="36" spans="1:12" x14ac:dyDescent="0.3">
      <c r="A36" s="6">
        <f t="shared" si="3"/>
        <v>46234</v>
      </c>
      <c r="B36" s="330">
        <v>0</v>
      </c>
      <c r="C36" s="5"/>
      <c r="D36" s="5"/>
      <c r="E36" s="5">
        <f>SUM(B36:D36)</f>
        <v>0</v>
      </c>
      <c r="G36" s="18">
        <v>1.2500000000000001E-2</v>
      </c>
      <c r="H36" s="588">
        <v>0.1149</v>
      </c>
      <c r="I36" s="16">
        <f>+H36+G36</f>
        <v>0.12740000000000001</v>
      </c>
      <c r="J36" s="385">
        <f>IF(E36&lt;0,0,E36*I36/365)</f>
        <v>0</v>
      </c>
      <c r="K36" s="34">
        <f>+E36-E35</f>
        <v>0</v>
      </c>
    </row>
    <row r="37" spans="1:12" x14ac:dyDescent="0.3">
      <c r="G37" s="994" t="s">
        <v>14</v>
      </c>
      <c r="H37" s="995"/>
      <c r="I37" s="20"/>
      <c r="J37" s="19">
        <f>SUM(J6:J36)</f>
        <v>0</v>
      </c>
    </row>
    <row r="38" spans="1:12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2" x14ac:dyDescent="0.3">
      <c r="G39" s="965" t="s">
        <v>22</v>
      </c>
      <c r="H39" s="965"/>
      <c r="I39" s="965"/>
    </row>
    <row r="40" spans="1:12" ht="15.6" x14ac:dyDescent="0.3">
      <c r="A40" s="343" t="s">
        <v>258</v>
      </c>
      <c r="B40" s="347" t="s">
        <v>68</v>
      </c>
      <c r="G40" s="21"/>
      <c r="H40" s="212"/>
      <c r="I40" s="21"/>
      <c r="J40" s="22" t="s">
        <v>0</v>
      </c>
      <c r="K40" s="115"/>
    </row>
    <row r="41" spans="1:12" x14ac:dyDescent="0.3">
      <c r="G41" s="968" t="s">
        <v>15</v>
      </c>
      <c r="H41" s="968"/>
      <c r="I41" s="968"/>
      <c r="J41" s="308">
        <v>85264.826069336996</v>
      </c>
      <c r="K41" s="581"/>
    </row>
    <row r="42" spans="1:12" ht="17.399999999999999" x14ac:dyDescent="0.3">
      <c r="G42" s="968" t="s">
        <v>49</v>
      </c>
      <c r="H42" s="968"/>
      <c r="I42" s="968"/>
      <c r="J42" s="335"/>
      <c r="K42" s="807"/>
      <c r="L42" s="708"/>
    </row>
    <row r="43" spans="1:12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</row>
    <row r="44" spans="1:12" x14ac:dyDescent="0.3">
      <c r="G44" s="966"/>
      <c r="H44" s="966"/>
      <c r="I44" s="966"/>
      <c r="J44" s="966"/>
    </row>
    <row r="45" spans="1:12" ht="16.2" customHeight="1" thickBot="1" x14ac:dyDescent="0.35">
      <c r="G45" s="974" t="s">
        <v>199</v>
      </c>
      <c r="H45" s="974"/>
      <c r="I45" s="974"/>
      <c r="J45" s="217">
        <f>J37+J43</f>
        <v>0</v>
      </c>
      <c r="K45" s="325"/>
      <c r="L45" s="34"/>
    </row>
    <row r="46" spans="1:12" x14ac:dyDescent="0.3">
      <c r="G46" s="967"/>
      <c r="H46" s="967"/>
      <c r="I46" s="967"/>
      <c r="J46" s="967"/>
    </row>
    <row r="47" spans="1:12" x14ac:dyDescent="0.3">
      <c r="G47" s="991" t="s">
        <v>31</v>
      </c>
      <c r="H47" s="991"/>
      <c r="I47" s="991"/>
      <c r="J47" s="220">
        <f>J41+J45-J42</f>
        <v>85264.826069336996</v>
      </c>
      <c r="K47" s="390"/>
      <c r="L47" s="34"/>
    </row>
    <row r="49" spans="10:10" x14ac:dyDescent="0.3">
      <c r="J49" s="2"/>
    </row>
    <row r="50" spans="10:10" x14ac:dyDescent="0.3">
      <c r="J50" s="34"/>
    </row>
  </sheetData>
  <autoFilter ref="K1:K50" xr:uid="{6CB62C70-2964-410D-A009-58D29D3D77E7}"/>
  <mergeCells count="20">
    <mergeCell ref="G47:I47"/>
    <mergeCell ref="G41:I41"/>
    <mergeCell ref="G44:J44"/>
    <mergeCell ref="G46:J46"/>
    <mergeCell ref="B4:B5"/>
    <mergeCell ref="E4:E5"/>
    <mergeCell ref="G4:G5"/>
    <mergeCell ref="I4:I5"/>
    <mergeCell ref="G37:H37"/>
    <mergeCell ref="H4:H5"/>
    <mergeCell ref="G42:I42"/>
    <mergeCell ref="G43:I43"/>
    <mergeCell ref="G45:I45"/>
    <mergeCell ref="A1:J1"/>
    <mergeCell ref="A2:I2"/>
    <mergeCell ref="A3:J3"/>
    <mergeCell ref="A38:J38"/>
    <mergeCell ref="G39:I39"/>
    <mergeCell ref="A4:A5"/>
    <mergeCell ref="J4:J5"/>
  </mergeCells>
  <printOptions horizontalCentered="1" verticalCentered="1"/>
  <pageMargins left="0.75" right="0.75" top="0.5" bottom="0.5" header="0.5" footer="0.5"/>
  <pageSetup scale="70" orientation="landscape" r:id="rId1"/>
  <headerFooter alignWithMargins="0"/>
  <ignoredErrors>
    <ignoredError sqref="E6:E32" formulaRange="1"/>
  </ignoredError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A75C-4CF5-4587-BC4D-3FBFA8D38BE4}">
  <sheetPr>
    <pageSetUpPr fitToPage="1"/>
  </sheetPr>
  <dimension ref="A1:G99"/>
  <sheetViews>
    <sheetView showGridLines="0" view="pageBreakPreview" topLeftCell="A64" zoomScaleNormal="100" zoomScaleSheetLayoutView="100" workbookViewId="0">
      <selection activeCell="B76" sqref="B76"/>
    </sheetView>
  </sheetViews>
  <sheetFormatPr defaultColWidth="10.6328125" defaultRowHeight="13.8" x14ac:dyDescent="0.3"/>
  <cols>
    <col min="1" max="1" width="16.26953125" style="3" customWidth="1"/>
    <col min="2" max="2" width="14.6328125" style="31" customWidth="1"/>
    <col min="3" max="3" width="11.6328125" style="3" customWidth="1"/>
    <col min="4" max="4" width="9" style="3" bestFit="1" customWidth="1"/>
    <col min="5" max="5" width="11.36328125" style="3" customWidth="1"/>
    <col min="6" max="6" width="3.1796875" style="3" bestFit="1" customWidth="1"/>
    <col min="7" max="7" width="9" style="3" bestFit="1" customWidth="1"/>
    <col min="8" max="16384" width="10.6328125" style="3"/>
  </cols>
  <sheetData>
    <row r="1" spans="1:7" ht="18" x14ac:dyDescent="0.35">
      <c r="A1" s="941" t="s">
        <v>35</v>
      </c>
      <c r="B1" s="941"/>
      <c r="C1" s="941"/>
    </row>
    <row r="2" spans="1:7" ht="18.600000000000001" thickBot="1" x14ac:dyDescent="0.4">
      <c r="A2" s="47" t="s">
        <v>160</v>
      </c>
      <c r="B2" s="72"/>
      <c r="C2" s="27">
        <f>'FINANCIAL COST SUMMARY'!K2</f>
        <v>46204</v>
      </c>
    </row>
    <row r="3" spans="1:7" x14ac:dyDescent="0.3">
      <c r="A3" s="942"/>
      <c r="B3" s="942"/>
      <c r="C3" s="942"/>
    </row>
    <row r="4" spans="1:7" x14ac:dyDescent="0.3">
      <c r="A4" s="943" t="s">
        <v>19</v>
      </c>
      <c r="B4" s="965"/>
      <c r="C4" s="965"/>
    </row>
    <row r="5" spans="1:7" s="75" customFormat="1" ht="41.4" x14ac:dyDescent="0.25">
      <c r="A5" s="51" t="s">
        <v>2</v>
      </c>
      <c r="B5" s="376" t="s">
        <v>400</v>
      </c>
      <c r="C5" s="46" t="s">
        <v>0</v>
      </c>
    </row>
    <row r="6" spans="1:7" x14ac:dyDescent="0.3">
      <c r="A6" s="6">
        <v>46204</v>
      </c>
      <c r="B6" s="348">
        <f t="shared" ref="B6:B25" si="0">86950*280</f>
        <v>24346000</v>
      </c>
      <c r="C6" s="5">
        <f t="shared" ref="C6:C36" si="1">SUM(B6:B6)</f>
        <v>24346000</v>
      </c>
      <c r="D6" s="77"/>
      <c r="E6" s="301">
        <v>45768</v>
      </c>
      <c r="F6" s="302">
        <v>120</v>
      </c>
      <c r="G6" s="301">
        <f>E6+F6</f>
        <v>45888</v>
      </c>
    </row>
    <row r="7" spans="1:7" x14ac:dyDescent="0.3">
      <c r="A7" s="6">
        <f>+A6+1</f>
        <v>46205</v>
      </c>
      <c r="B7" s="348">
        <f t="shared" si="0"/>
        <v>24346000</v>
      </c>
      <c r="C7" s="5">
        <f t="shared" si="1"/>
        <v>24346000</v>
      </c>
      <c r="E7" s="76"/>
      <c r="G7" s="76"/>
    </row>
    <row r="8" spans="1:7" x14ac:dyDescent="0.3">
      <c r="A8" s="6">
        <f t="shared" ref="A8:A36" si="2">+A7+1</f>
        <v>46206</v>
      </c>
      <c r="B8" s="348">
        <f t="shared" si="0"/>
        <v>24346000</v>
      </c>
      <c r="C8" s="5">
        <f t="shared" si="1"/>
        <v>24346000</v>
      </c>
      <c r="G8" s="76"/>
    </row>
    <row r="9" spans="1:7" x14ac:dyDescent="0.3">
      <c r="A9" s="6">
        <f t="shared" si="2"/>
        <v>46207</v>
      </c>
      <c r="B9" s="348">
        <f t="shared" si="0"/>
        <v>24346000</v>
      </c>
      <c r="C9" s="5">
        <f t="shared" si="1"/>
        <v>24346000</v>
      </c>
      <c r="E9" s="76"/>
      <c r="G9" s="76"/>
    </row>
    <row r="10" spans="1:7" x14ac:dyDescent="0.3">
      <c r="A10" s="6">
        <f t="shared" si="2"/>
        <v>46208</v>
      </c>
      <c r="B10" s="348">
        <f t="shared" si="0"/>
        <v>24346000</v>
      </c>
      <c r="C10" s="5">
        <f t="shared" si="1"/>
        <v>24346000</v>
      </c>
      <c r="E10" s="111"/>
    </row>
    <row r="11" spans="1:7" x14ac:dyDescent="0.3">
      <c r="A11" s="6">
        <f t="shared" si="2"/>
        <v>46209</v>
      </c>
      <c r="B11" s="348">
        <f t="shared" si="0"/>
        <v>24346000</v>
      </c>
      <c r="C11" s="5">
        <f t="shared" si="1"/>
        <v>24346000</v>
      </c>
    </row>
    <row r="12" spans="1:7" x14ac:dyDescent="0.3">
      <c r="A12" s="6">
        <f t="shared" si="2"/>
        <v>46210</v>
      </c>
      <c r="B12" s="348">
        <f t="shared" si="0"/>
        <v>24346000</v>
      </c>
      <c r="C12" s="5">
        <f t="shared" si="1"/>
        <v>24346000</v>
      </c>
    </row>
    <row r="13" spans="1:7" x14ac:dyDescent="0.3">
      <c r="A13" s="6">
        <f t="shared" si="2"/>
        <v>46211</v>
      </c>
      <c r="B13" s="348">
        <f t="shared" si="0"/>
        <v>24346000</v>
      </c>
      <c r="C13" s="5">
        <f t="shared" si="1"/>
        <v>24346000</v>
      </c>
    </row>
    <row r="14" spans="1:7" x14ac:dyDescent="0.3">
      <c r="A14" s="6">
        <f t="shared" si="2"/>
        <v>46212</v>
      </c>
      <c r="B14" s="348">
        <f t="shared" si="0"/>
        <v>24346000</v>
      </c>
      <c r="C14" s="5">
        <f t="shared" si="1"/>
        <v>24346000</v>
      </c>
    </row>
    <row r="15" spans="1:7" x14ac:dyDescent="0.3">
      <c r="A15" s="6">
        <f t="shared" si="2"/>
        <v>46213</v>
      </c>
      <c r="B15" s="348">
        <f t="shared" si="0"/>
        <v>24346000</v>
      </c>
      <c r="C15" s="5">
        <f t="shared" si="1"/>
        <v>24346000</v>
      </c>
    </row>
    <row r="16" spans="1:7" x14ac:dyDescent="0.3">
      <c r="A16" s="6">
        <f t="shared" si="2"/>
        <v>46214</v>
      </c>
      <c r="B16" s="348">
        <f t="shared" si="0"/>
        <v>24346000</v>
      </c>
      <c r="C16" s="5">
        <f t="shared" si="1"/>
        <v>24346000</v>
      </c>
    </row>
    <row r="17" spans="1:5" s="31" customFormat="1" x14ac:dyDescent="0.3">
      <c r="A17" s="312">
        <f t="shared" si="2"/>
        <v>46215</v>
      </c>
      <c r="B17" s="348">
        <f t="shared" si="0"/>
        <v>24346000</v>
      </c>
      <c r="C17" s="5">
        <f t="shared" si="1"/>
        <v>24346000</v>
      </c>
    </row>
    <row r="18" spans="1:5" x14ac:dyDescent="0.3">
      <c r="A18" s="6">
        <f t="shared" si="2"/>
        <v>46216</v>
      </c>
      <c r="B18" s="348">
        <f t="shared" si="0"/>
        <v>24346000</v>
      </c>
      <c r="C18" s="5">
        <f t="shared" si="1"/>
        <v>24346000</v>
      </c>
      <c r="D18" s="390"/>
      <c r="E18" s="34"/>
    </row>
    <row r="19" spans="1:5" x14ac:dyDescent="0.3">
      <c r="A19" s="6">
        <f t="shared" si="2"/>
        <v>46217</v>
      </c>
      <c r="B19" s="348">
        <f t="shared" si="0"/>
        <v>24346000</v>
      </c>
      <c r="C19" s="5">
        <f t="shared" si="1"/>
        <v>24346000</v>
      </c>
      <c r="D19" s="325"/>
      <c r="E19" s="34"/>
    </row>
    <row r="20" spans="1:5" x14ac:dyDescent="0.3">
      <c r="A20" s="6">
        <f t="shared" si="2"/>
        <v>46218</v>
      </c>
      <c r="B20" s="348">
        <f t="shared" si="0"/>
        <v>24346000</v>
      </c>
      <c r="C20" s="5">
        <f t="shared" si="1"/>
        <v>24346000</v>
      </c>
      <c r="D20" s="303"/>
    </row>
    <row r="21" spans="1:5" x14ac:dyDescent="0.3">
      <c r="A21" s="6">
        <f t="shared" si="2"/>
        <v>46219</v>
      </c>
      <c r="B21" s="348">
        <f t="shared" si="0"/>
        <v>24346000</v>
      </c>
      <c r="C21" s="5">
        <f t="shared" si="1"/>
        <v>24346000</v>
      </c>
    </row>
    <row r="22" spans="1:5" x14ac:dyDescent="0.3">
      <c r="A22" s="6">
        <f t="shared" si="2"/>
        <v>46220</v>
      </c>
      <c r="B22" s="348">
        <f t="shared" si="0"/>
        <v>24346000</v>
      </c>
      <c r="C22" s="5">
        <f t="shared" si="1"/>
        <v>24346000</v>
      </c>
    </row>
    <row r="23" spans="1:5" x14ac:dyDescent="0.3">
      <c r="A23" s="312">
        <f t="shared" si="2"/>
        <v>46221</v>
      </c>
      <c r="B23" s="348">
        <f t="shared" si="0"/>
        <v>24346000</v>
      </c>
      <c r="C23" s="5">
        <f t="shared" si="1"/>
        <v>24346000</v>
      </c>
    </row>
    <row r="24" spans="1:5" x14ac:dyDescent="0.3">
      <c r="A24" s="312">
        <f t="shared" si="2"/>
        <v>46222</v>
      </c>
      <c r="B24" s="348">
        <f t="shared" si="0"/>
        <v>24346000</v>
      </c>
      <c r="C24" s="5">
        <f t="shared" si="1"/>
        <v>24346000</v>
      </c>
    </row>
    <row r="25" spans="1:5" x14ac:dyDescent="0.3">
      <c r="A25" s="312">
        <f t="shared" si="2"/>
        <v>46223</v>
      </c>
      <c r="B25" s="348">
        <f t="shared" si="0"/>
        <v>24346000</v>
      </c>
      <c r="C25" s="5">
        <f t="shared" si="1"/>
        <v>24346000</v>
      </c>
    </row>
    <row r="26" spans="1:5" x14ac:dyDescent="0.3">
      <c r="A26" s="312">
        <f t="shared" si="2"/>
        <v>46224</v>
      </c>
      <c r="B26" s="348">
        <f>86950*280</f>
        <v>24346000</v>
      </c>
      <c r="C26" s="5">
        <f t="shared" si="1"/>
        <v>24346000</v>
      </c>
    </row>
    <row r="27" spans="1:5" s="331" customFormat="1" x14ac:dyDescent="0.3">
      <c r="A27" s="315">
        <f t="shared" si="2"/>
        <v>46225</v>
      </c>
      <c r="B27" s="348">
        <f t="shared" ref="B27:B36" si="3">86950*280</f>
        <v>24346000</v>
      </c>
      <c r="C27" s="5">
        <f t="shared" si="1"/>
        <v>24346000</v>
      </c>
    </row>
    <row r="28" spans="1:5" x14ac:dyDescent="0.3">
      <c r="A28" s="312">
        <f t="shared" si="2"/>
        <v>46226</v>
      </c>
      <c r="B28" s="348">
        <f t="shared" si="3"/>
        <v>24346000</v>
      </c>
      <c r="C28" s="5">
        <f t="shared" si="1"/>
        <v>24346000</v>
      </c>
    </row>
    <row r="29" spans="1:5" x14ac:dyDescent="0.3">
      <c r="A29" s="312">
        <f t="shared" si="2"/>
        <v>46227</v>
      </c>
      <c r="B29" s="348">
        <f t="shared" si="3"/>
        <v>24346000</v>
      </c>
      <c r="C29" s="5">
        <f t="shared" si="1"/>
        <v>24346000</v>
      </c>
    </row>
    <row r="30" spans="1:5" x14ac:dyDescent="0.3">
      <c r="A30" s="312">
        <f t="shared" si="2"/>
        <v>46228</v>
      </c>
      <c r="B30" s="348">
        <f t="shared" si="3"/>
        <v>24346000</v>
      </c>
      <c r="C30" s="5">
        <f t="shared" si="1"/>
        <v>24346000</v>
      </c>
    </row>
    <row r="31" spans="1:5" x14ac:dyDescent="0.3">
      <c r="A31" s="312">
        <f t="shared" si="2"/>
        <v>46229</v>
      </c>
      <c r="B31" s="348">
        <f t="shared" si="3"/>
        <v>24346000</v>
      </c>
      <c r="C31" s="5">
        <f t="shared" si="1"/>
        <v>24346000</v>
      </c>
    </row>
    <row r="32" spans="1:5" x14ac:dyDescent="0.3">
      <c r="A32" s="312">
        <f t="shared" si="2"/>
        <v>46230</v>
      </c>
      <c r="B32" s="348">
        <f t="shared" si="3"/>
        <v>24346000</v>
      </c>
      <c r="C32" s="5">
        <f t="shared" si="1"/>
        <v>24346000</v>
      </c>
      <c r="D32" s="34"/>
    </row>
    <row r="33" spans="1:4" x14ac:dyDescent="0.3">
      <c r="A33" s="312">
        <f t="shared" si="2"/>
        <v>46231</v>
      </c>
      <c r="B33" s="348">
        <f t="shared" si="3"/>
        <v>24346000</v>
      </c>
      <c r="C33" s="5">
        <f t="shared" si="1"/>
        <v>24346000</v>
      </c>
      <c r="D33" s="34"/>
    </row>
    <row r="34" spans="1:4" x14ac:dyDescent="0.3">
      <c r="A34" s="312">
        <f t="shared" si="2"/>
        <v>46232</v>
      </c>
      <c r="B34" s="348">
        <f t="shared" si="3"/>
        <v>24346000</v>
      </c>
      <c r="C34" s="5">
        <f t="shared" si="1"/>
        <v>24346000</v>
      </c>
      <c r="D34" s="34"/>
    </row>
    <row r="35" spans="1:4" x14ac:dyDescent="0.3">
      <c r="A35" s="312">
        <f t="shared" si="2"/>
        <v>46233</v>
      </c>
      <c r="B35" s="348">
        <f t="shared" si="3"/>
        <v>24346000</v>
      </c>
      <c r="C35" s="5">
        <f t="shared" si="1"/>
        <v>24346000</v>
      </c>
      <c r="D35" s="34"/>
    </row>
    <row r="36" spans="1:4" x14ac:dyDescent="0.3">
      <c r="A36" s="312">
        <f t="shared" si="2"/>
        <v>46234</v>
      </c>
      <c r="B36" s="348">
        <f t="shared" si="3"/>
        <v>24346000</v>
      </c>
      <c r="C36" s="5">
        <f t="shared" si="1"/>
        <v>24346000</v>
      </c>
      <c r="D36" s="34"/>
    </row>
    <row r="37" spans="1:4" x14ac:dyDescent="0.3">
      <c r="A37" s="611"/>
      <c r="B37" s="602"/>
      <c r="C37" s="492"/>
      <c r="D37" s="31"/>
    </row>
    <row r="38" spans="1:4" x14ac:dyDescent="0.3">
      <c r="A38" s="943" t="s">
        <v>56</v>
      </c>
      <c r="B38" s="943"/>
      <c r="C38" s="943"/>
    </row>
    <row r="39" spans="1:4" s="75" customFormat="1" ht="55.2" customHeight="1" x14ac:dyDescent="0.25">
      <c r="A39" s="51" t="s">
        <v>58</v>
      </c>
      <c r="B39" s="46" t="str">
        <f>B5</f>
        <v xml:space="preserve">
(C.D 21.04.2026 M.D 19.08.2026)</v>
      </c>
      <c r="C39" s="46" t="s">
        <v>0</v>
      </c>
    </row>
    <row r="40" spans="1:4" s="91" customFormat="1" ht="36" customHeight="1" x14ac:dyDescent="0.25">
      <c r="A40" s="375" t="s">
        <v>179</v>
      </c>
      <c r="B40" s="358">
        <f>1%+11.28%</f>
        <v>0.12279999999999999</v>
      </c>
      <c r="C40" s="90"/>
    </row>
    <row r="41" spans="1:4" x14ac:dyDescent="0.3">
      <c r="A41" s="6">
        <f t="shared" ref="A41:A70" si="4">A6</f>
        <v>46204</v>
      </c>
      <c r="B41" s="5">
        <f t="shared" ref="B41:B71" si="5">IF(B6&lt;0,0,B6*B$40/365)</f>
        <v>8190.9282191780812</v>
      </c>
      <c r="C41" s="5">
        <f t="shared" ref="C41:C72" si="6">SUM(B41:B41)</f>
        <v>8190.9282191780812</v>
      </c>
    </row>
    <row r="42" spans="1:4" x14ac:dyDescent="0.3">
      <c r="A42" s="6">
        <f t="shared" si="4"/>
        <v>46205</v>
      </c>
      <c r="B42" s="5">
        <f t="shared" si="5"/>
        <v>8190.9282191780812</v>
      </c>
      <c r="C42" s="5">
        <f t="shared" si="6"/>
        <v>8190.9282191780812</v>
      </c>
    </row>
    <row r="43" spans="1:4" x14ac:dyDescent="0.3">
      <c r="A43" s="6">
        <f t="shared" si="4"/>
        <v>46206</v>
      </c>
      <c r="B43" s="5">
        <f t="shared" si="5"/>
        <v>8190.9282191780812</v>
      </c>
      <c r="C43" s="5">
        <f t="shared" si="6"/>
        <v>8190.9282191780812</v>
      </c>
    </row>
    <row r="44" spans="1:4" x14ac:dyDescent="0.3">
      <c r="A44" s="6">
        <f t="shared" si="4"/>
        <v>46207</v>
      </c>
      <c r="B44" s="5">
        <f t="shared" si="5"/>
        <v>8190.9282191780812</v>
      </c>
      <c r="C44" s="5">
        <f t="shared" si="6"/>
        <v>8190.9282191780812</v>
      </c>
    </row>
    <row r="45" spans="1:4" x14ac:dyDescent="0.3">
      <c r="A45" s="6">
        <f t="shared" si="4"/>
        <v>46208</v>
      </c>
      <c r="B45" s="5">
        <f t="shared" si="5"/>
        <v>8190.9282191780812</v>
      </c>
      <c r="C45" s="5">
        <f t="shared" si="6"/>
        <v>8190.9282191780812</v>
      </c>
    </row>
    <row r="46" spans="1:4" x14ac:dyDescent="0.3">
      <c r="A46" s="6">
        <f t="shared" si="4"/>
        <v>46209</v>
      </c>
      <c r="B46" s="5">
        <f t="shared" si="5"/>
        <v>8190.9282191780812</v>
      </c>
      <c r="C46" s="5">
        <f t="shared" si="6"/>
        <v>8190.9282191780812</v>
      </c>
    </row>
    <row r="47" spans="1:4" x14ac:dyDescent="0.3">
      <c r="A47" s="6">
        <f t="shared" si="4"/>
        <v>46210</v>
      </c>
      <c r="B47" s="5">
        <f t="shared" si="5"/>
        <v>8190.9282191780812</v>
      </c>
      <c r="C47" s="5">
        <f t="shared" si="6"/>
        <v>8190.9282191780812</v>
      </c>
    </row>
    <row r="48" spans="1:4" x14ac:dyDescent="0.3">
      <c r="A48" s="6">
        <f t="shared" si="4"/>
        <v>46211</v>
      </c>
      <c r="B48" s="5">
        <f t="shared" si="5"/>
        <v>8190.9282191780812</v>
      </c>
      <c r="C48" s="5">
        <f t="shared" si="6"/>
        <v>8190.9282191780812</v>
      </c>
    </row>
    <row r="49" spans="1:3" x14ac:dyDescent="0.3">
      <c r="A49" s="6">
        <f t="shared" si="4"/>
        <v>46212</v>
      </c>
      <c r="B49" s="5">
        <f t="shared" si="5"/>
        <v>8190.9282191780812</v>
      </c>
      <c r="C49" s="5">
        <f t="shared" si="6"/>
        <v>8190.9282191780812</v>
      </c>
    </row>
    <row r="50" spans="1:3" x14ac:dyDescent="0.3">
      <c r="A50" s="6">
        <f t="shared" si="4"/>
        <v>46213</v>
      </c>
      <c r="B50" s="5">
        <f t="shared" si="5"/>
        <v>8190.9282191780812</v>
      </c>
      <c r="C50" s="5">
        <f t="shared" si="6"/>
        <v>8190.9282191780812</v>
      </c>
    </row>
    <row r="51" spans="1:3" x14ac:dyDescent="0.3">
      <c r="A51" s="6">
        <f t="shared" si="4"/>
        <v>46214</v>
      </c>
      <c r="B51" s="5">
        <f t="shared" si="5"/>
        <v>8190.9282191780812</v>
      </c>
      <c r="C51" s="5">
        <f t="shared" si="6"/>
        <v>8190.9282191780812</v>
      </c>
    </row>
    <row r="52" spans="1:3" x14ac:dyDescent="0.3">
      <c r="A52" s="6">
        <f t="shared" si="4"/>
        <v>46215</v>
      </c>
      <c r="B52" s="5">
        <f t="shared" si="5"/>
        <v>8190.9282191780812</v>
      </c>
      <c r="C52" s="5">
        <f t="shared" si="6"/>
        <v>8190.9282191780812</v>
      </c>
    </row>
    <row r="53" spans="1:3" x14ac:dyDescent="0.3">
      <c r="A53" s="6">
        <f t="shared" si="4"/>
        <v>46216</v>
      </c>
      <c r="B53" s="5">
        <f t="shared" si="5"/>
        <v>8190.9282191780812</v>
      </c>
      <c r="C53" s="5">
        <f t="shared" si="6"/>
        <v>8190.9282191780812</v>
      </c>
    </row>
    <row r="54" spans="1:3" x14ac:dyDescent="0.3">
      <c r="A54" s="6">
        <f t="shared" si="4"/>
        <v>46217</v>
      </c>
      <c r="B54" s="5">
        <f t="shared" si="5"/>
        <v>8190.9282191780812</v>
      </c>
      <c r="C54" s="5">
        <f t="shared" si="6"/>
        <v>8190.9282191780812</v>
      </c>
    </row>
    <row r="55" spans="1:3" x14ac:dyDescent="0.3">
      <c r="A55" s="6">
        <f t="shared" si="4"/>
        <v>46218</v>
      </c>
      <c r="B55" s="5">
        <f t="shared" si="5"/>
        <v>8190.9282191780812</v>
      </c>
      <c r="C55" s="5">
        <f t="shared" si="6"/>
        <v>8190.9282191780812</v>
      </c>
    </row>
    <row r="56" spans="1:3" x14ac:dyDescent="0.3">
      <c r="A56" s="6">
        <f t="shared" si="4"/>
        <v>46219</v>
      </c>
      <c r="B56" s="5">
        <f t="shared" si="5"/>
        <v>8190.9282191780812</v>
      </c>
      <c r="C56" s="5">
        <f t="shared" si="6"/>
        <v>8190.9282191780812</v>
      </c>
    </row>
    <row r="57" spans="1:3" x14ac:dyDescent="0.3">
      <c r="A57" s="6">
        <f t="shared" si="4"/>
        <v>46220</v>
      </c>
      <c r="B57" s="5">
        <f t="shared" si="5"/>
        <v>8190.9282191780812</v>
      </c>
      <c r="C57" s="5">
        <f t="shared" si="6"/>
        <v>8190.9282191780812</v>
      </c>
    </row>
    <row r="58" spans="1:3" x14ac:dyDescent="0.3">
      <c r="A58" s="6">
        <f t="shared" si="4"/>
        <v>46221</v>
      </c>
      <c r="B58" s="5">
        <f t="shared" si="5"/>
        <v>8190.9282191780812</v>
      </c>
      <c r="C58" s="5">
        <f t="shared" si="6"/>
        <v>8190.9282191780812</v>
      </c>
    </row>
    <row r="59" spans="1:3" x14ac:dyDescent="0.3">
      <c r="A59" s="6">
        <f t="shared" si="4"/>
        <v>46222</v>
      </c>
      <c r="B59" s="5">
        <f t="shared" si="5"/>
        <v>8190.9282191780812</v>
      </c>
      <c r="C59" s="5">
        <f t="shared" si="6"/>
        <v>8190.9282191780812</v>
      </c>
    </row>
    <row r="60" spans="1:3" x14ac:dyDescent="0.3">
      <c r="A60" s="6">
        <f t="shared" si="4"/>
        <v>46223</v>
      </c>
      <c r="B60" s="5">
        <f t="shared" si="5"/>
        <v>8190.9282191780812</v>
      </c>
      <c r="C60" s="5">
        <f t="shared" si="6"/>
        <v>8190.9282191780812</v>
      </c>
    </row>
    <row r="61" spans="1:3" x14ac:dyDescent="0.3">
      <c r="A61" s="6">
        <f t="shared" si="4"/>
        <v>46224</v>
      </c>
      <c r="B61" s="5">
        <f t="shared" si="5"/>
        <v>8190.9282191780812</v>
      </c>
      <c r="C61" s="5">
        <f t="shared" si="6"/>
        <v>8190.9282191780812</v>
      </c>
    </row>
    <row r="62" spans="1:3" x14ac:dyDescent="0.3">
      <c r="A62" s="6">
        <f t="shared" si="4"/>
        <v>46225</v>
      </c>
      <c r="B62" s="5">
        <f t="shared" si="5"/>
        <v>8190.9282191780812</v>
      </c>
      <c r="C62" s="5">
        <f t="shared" si="6"/>
        <v>8190.9282191780812</v>
      </c>
    </row>
    <row r="63" spans="1:3" x14ac:dyDescent="0.3">
      <c r="A63" s="6">
        <f t="shared" si="4"/>
        <v>46226</v>
      </c>
      <c r="B63" s="5">
        <f t="shared" si="5"/>
        <v>8190.9282191780812</v>
      </c>
      <c r="C63" s="5">
        <f t="shared" si="6"/>
        <v>8190.9282191780812</v>
      </c>
    </row>
    <row r="64" spans="1:3" x14ac:dyDescent="0.3">
      <c r="A64" s="6">
        <f t="shared" si="4"/>
        <v>46227</v>
      </c>
      <c r="B64" s="5">
        <f t="shared" si="5"/>
        <v>8190.9282191780812</v>
      </c>
      <c r="C64" s="5">
        <f t="shared" si="6"/>
        <v>8190.9282191780812</v>
      </c>
    </row>
    <row r="65" spans="1:5" x14ac:dyDescent="0.3">
      <c r="A65" s="6">
        <f t="shared" si="4"/>
        <v>46228</v>
      </c>
      <c r="B65" s="5">
        <f t="shared" si="5"/>
        <v>8190.9282191780812</v>
      </c>
      <c r="C65" s="5">
        <f t="shared" si="6"/>
        <v>8190.9282191780812</v>
      </c>
    </row>
    <row r="66" spans="1:5" x14ac:dyDescent="0.3">
      <c r="A66" s="6">
        <f t="shared" si="4"/>
        <v>46229</v>
      </c>
      <c r="B66" s="5">
        <f t="shared" si="5"/>
        <v>8190.9282191780812</v>
      </c>
      <c r="C66" s="5">
        <f t="shared" si="6"/>
        <v>8190.9282191780812</v>
      </c>
    </row>
    <row r="67" spans="1:5" x14ac:dyDescent="0.3">
      <c r="A67" s="6">
        <f t="shared" si="4"/>
        <v>46230</v>
      </c>
      <c r="B67" s="5">
        <f t="shared" si="5"/>
        <v>8190.9282191780812</v>
      </c>
      <c r="C67" s="5">
        <f t="shared" si="6"/>
        <v>8190.9282191780812</v>
      </c>
    </row>
    <row r="68" spans="1:5" x14ac:dyDescent="0.3">
      <c r="A68" s="6">
        <f t="shared" si="4"/>
        <v>46231</v>
      </c>
      <c r="B68" s="5">
        <f t="shared" si="5"/>
        <v>8190.9282191780812</v>
      </c>
      <c r="C68" s="5">
        <f t="shared" si="6"/>
        <v>8190.9282191780812</v>
      </c>
    </row>
    <row r="69" spans="1:5" x14ac:dyDescent="0.3">
      <c r="A69" s="6">
        <f t="shared" si="4"/>
        <v>46232</v>
      </c>
      <c r="B69" s="5">
        <f t="shared" si="5"/>
        <v>8190.9282191780812</v>
      </c>
      <c r="C69" s="5">
        <f t="shared" si="6"/>
        <v>8190.9282191780812</v>
      </c>
    </row>
    <row r="70" spans="1:5" x14ac:dyDescent="0.3">
      <c r="A70" s="6">
        <f t="shared" si="4"/>
        <v>46233</v>
      </c>
      <c r="B70" s="5">
        <f t="shared" si="5"/>
        <v>8190.9282191780812</v>
      </c>
      <c r="C70" s="5">
        <f t="shared" si="6"/>
        <v>8190.9282191780812</v>
      </c>
    </row>
    <row r="71" spans="1:5" x14ac:dyDescent="0.3">
      <c r="A71" s="6">
        <f t="shared" ref="A71" si="7">A36</f>
        <v>46234</v>
      </c>
      <c r="B71" s="5">
        <f t="shared" si="5"/>
        <v>8190.9282191780812</v>
      </c>
      <c r="C71" s="5">
        <f t="shared" si="6"/>
        <v>8190.9282191780812</v>
      </c>
    </row>
    <row r="72" spans="1:5" x14ac:dyDescent="0.3">
      <c r="A72" s="97"/>
      <c r="B72" s="10">
        <f>SUM(B41:B71)</f>
        <v>253918.77479452052</v>
      </c>
      <c r="C72" s="5">
        <f t="shared" si="6"/>
        <v>253918.77479452052</v>
      </c>
    </row>
    <row r="73" spans="1:5" x14ac:dyDescent="0.3">
      <c r="A73" s="940"/>
      <c r="B73" s="940"/>
      <c r="C73" s="940"/>
    </row>
    <row r="74" spans="1:5" x14ac:dyDescent="0.3">
      <c r="A74" s="943" t="s">
        <v>73</v>
      </c>
      <c r="B74" s="943"/>
      <c r="C74" s="943"/>
    </row>
    <row r="75" spans="1:5" s="75" customFormat="1" ht="41.4" x14ac:dyDescent="0.25">
      <c r="A75" s="51" t="s">
        <v>18</v>
      </c>
      <c r="B75" s="80" t="str">
        <f>B5</f>
        <v xml:space="preserve">
(C.D 21.04.2026 M.D 19.08.2026)</v>
      </c>
      <c r="C75" s="46" t="s">
        <v>0</v>
      </c>
    </row>
    <row r="76" spans="1:5" x14ac:dyDescent="0.3">
      <c r="A76" s="11" t="s">
        <v>15</v>
      </c>
      <c r="B76" s="572">
        <v>581555.90356164379</v>
      </c>
      <c r="C76" s="306">
        <f>SUM(B76:B76)</f>
        <v>581555.90356164379</v>
      </c>
      <c r="D76" s="1"/>
      <c r="E76" s="34"/>
    </row>
    <row r="77" spans="1:5" s="331" customFormat="1" x14ac:dyDescent="0.3">
      <c r="A77" s="400" t="s">
        <v>16</v>
      </c>
      <c r="B77" s="381">
        <f>B72</f>
        <v>253918.77479452052</v>
      </c>
      <c r="C77" s="306">
        <f>SUM(B77:B77)</f>
        <v>253918.77479452052</v>
      </c>
    </row>
    <row r="78" spans="1:5" x14ac:dyDescent="0.3">
      <c r="A78" s="11" t="s">
        <v>26</v>
      </c>
      <c r="B78" s="316"/>
      <c r="C78" s="306">
        <f>SUM(B78:B78)</f>
        <v>0</v>
      </c>
    </row>
    <row r="79" spans="1:5" x14ac:dyDescent="0.3">
      <c r="A79" s="11" t="s">
        <v>14</v>
      </c>
      <c r="B79" s="5">
        <f>SUM(B76:B78)</f>
        <v>835474.67835616437</v>
      </c>
      <c r="C79" s="306">
        <f>SUM(B79:B79)</f>
        <v>835474.67835616437</v>
      </c>
      <c r="E79" s="34"/>
    </row>
    <row r="80" spans="1:5" x14ac:dyDescent="0.3">
      <c r="A80" s="939"/>
      <c r="B80" s="939"/>
      <c r="C80" s="939"/>
    </row>
    <row r="81" spans="1:6" ht="15.6" x14ac:dyDescent="0.3">
      <c r="A81" s="12" t="s">
        <v>85</v>
      </c>
      <c r="B81" s="44"/>
      <c r="C81" s="44">
        <f>SUM(B81:B81)</f>
        <v>0</v>
      </c>
      <c r="D81" s="31"/>
      <c r="E81" s="31"/>
      <c r="F81" s="83"/>
    </row>
    <row r="82" spans="1:6" ht="15.6" x14ac:dyDescent="0.3">
      <c r="A82" s="940"/>
      <c r="B82" s="940"/>
      <c r="C82" s="940"/>
      <c r="E82" s="83"/>
    </row>
    <row r="83" spans="1:6" ht="15.6" x14ac:dyDescent="0.3">
      <c r="A83" s="12" t="s">
        <v>4</v>
      </c>
      <c r="B83" s="44"/>
      <c r="C83" s="13"/>
      <c r="E83" s="83"/>
    </row>
    <row r="84" spans="1:6" x14ac:dyDescent="0.3">
      <c r="A84" s="940"/>
      <c r="B84" s="940"/>
      <c r="C84" s="940"/>
    </row>
    <row r="85" spans="1:6" x14ac:dyDescent="0.3">
      <c r="A85" s="101" t="s">
        <v>17</v>
      </c>
      <c r="B85" s="102">
        <f>B72+B83+B78</f>
        <v>253918.77479452052</v>
      </c>
      <c r="C85" s="102">
        <f>SUM(B85:B85)</f>
        <v>253918.77479452052</v>
      </c>
    </row>
    <row r="86" spans="1:6" x14ac:dyDescent="0.3">
      <c r="A86" s="940"/>
      <c r="B86" s="940"/>
      <c r="C86" s="996"/>
    </row>
    <row r="87" spans="1:6" x14ac:dyDescent="0.3">
      <c r="A87" s="99" t="s">
        <v>31</v>
      </c>
      <c r="B87" s="98">
        <f>B79+B83-B81</f>
        <v>835474.67835616437</v>
      </c>
      <c r="C87" s="98">
        <f>SUM(B87:B87)</f>
        <v>835474.67835616437</v>
      </c>
    </row>
    <row r="88" spans="1:6" x14ac:dyDescent="0.3">
      <c r="A88" s="322" t="s">
        <v>264</v>
      </c>
      <c r="B88" s="399">
        <v>30000886</v>
      </c>
    </row>
    <row r="89" spans="1:6" x14ac:dyDescent="0.3">
      <c r="B89" s="139"/>
    </row>
    <row r="91" spans="1:6" x14ac:dyDescent="0.3">
      <c r="A91" s="318" t="s">
        <v>265</v>
      </c>
      <c r="B91" s="322">
        <v>9200000011</v>
      </c>
    </row>
    <row r="92" spans="1:6" x14ac:dyDescent="0.3">
      <c r="A92" s="318" t="s">
        <v>266</v>
      </c>
      <c r="B92" s="322">
        <v>40000017</v>
      </c>
    </row>
    <row r="96" spans="1:6" x14ac:dyDescent="0.3">
      <c r="B96" s="573"/>
    </row>
    <row r="97" spans="2:2" x14ac:dyDescent="0.3">
      <c r="B97" s="573"/>
    </row>
    <row r="98" spans="2:2" x14ac:dyDescent="0.3">
      <c r="B98" s="573"/>
    </row>
    <row r="99" spans="2:2" x14ac:dyDescent="0.3">
      <c r="B99" s="573"/>
    </row>
  </sheetData>
  <mergeCells count="10">
    <mergeCell ref="A80:C80"/>
    <mergeCell ref="A82:C82"/>
    <mergeCell ref="A84:C84"/>
    <mergeCell ref="A86:C86"/>
    <mergeCell ref="A1:C1"/>
    <mergeCell ref="A3:C3"/>
    <mergeCell ref="A4:C4"/>
    <mergeCell ref="A38:C38"/>
    <mergeCell ref="A73:C73"/>
    <mergeCell ref="A74:C74"/>
  </mergeCells>
  <phoneticPr fontId="22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1" orientation="portrait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E895-BA96-49CB-8A81-580EC562112F}">
  <sheetPr>
    <pageSetUpPr fitToPage="1"/>
  </sheetPr>
  <dimension ref="A1:J91"/>
  <sheetViews>
    <sheetView view="pageBreakPreview" topLeftCell="A68" zoomScaleNormal="100" zoomScaleSheetLayoutView="100" workbookViewId="0">
      <selection activeCell="B75" sqref="B75"/>
    </sheetView>
  </sheetViews>
  <sheetFormatPr defaultRowHeight="15.6" x14ac:dyDescent="0.3"/>
  <cols>
    <col min="1" max="1" width="14.26953125" style="3" customWidth="1"/>
    <col min="2" max="2" width="12.1796875" style="31" customWidth="1"/>
    <col min="3" max="3" width="14" style="3" bestFit="1" customWidth="1"/>
    <col min="4" max="4" width="13.81640625" hidden="1" customWidth="1"/>
    <col min="5" max="5" width="19" bestFit="1" customWidth="1"/>
    <col min="6" max="6" width="6.90625" style="48" bestFit="1" customWidth="1"/>
    <col min="7" max="7" width="7.7265625" bestFit="1" customWidth="1"/>
    <col min="8" max="8" width="12.7265625" bestFit="1" customWidth="1"/>
    <col min="10" max="10" width="10.1796875" bestFit="1" customWidth="1"/>
  </cols>
  <sheetData>
    <row r="1" spans="1:7" ht="18" x14ac:dyDescent="0.35">
      <c r="A1" s="941" t="s">
        <v>35</v>
      </c>
      <c r="B1" s="941"/>
      <c r="C1" s="941"/>
    </row>
    <row r="2" spans="1:7" ht="18.600000000000001" thickBot="1" x14ac:dyDescent="0.4">
      <c r="A2" s="47" t="s">
        <v>159</v>
      </c>
      <c r="B2" s="72"/>
      <c r="C2" s="27">
        <f>'FINANCIAL COST SUMMARY'!K2</f>
        <v>46204</v>
      </c>
    </row>
    <row r="3" spans="1:7" x14ac:dyDescent="0.3">
      <c r="A3" s="942"/>
      <c r="B3" s="997"/>
      <c r="C3" s="997"/>
    </row>
    <row r="4" spans="1:7" x14ac:dyDescent="0.3">
      <c r="A4" s="943" t="s">
        <v>19</v>
      </c>
      <c r="B4" s="943"/>
      <c r="C4" s="943"/>
    </row>
    <row r="5" spans="1:7" s="57" customFormat="1" ht="41.4" x14ac:dyDescent="0.25">
      <c r="A5" s="51" t="s">
        <v>2</v>
      </c>
      <c r="B5" s="389" t="s">
        <v>412</v>
      </c>
      <c r="C5" s="73" t="s">
        <v>0</v>
      </c>
      <c r="F5" s="547"/>
    </row>
    <row r="6" spans="1:7" x14ac:dyDescent="0.3">
      <c r="A6" s="6">
        <v>46204</v>
      </c>
      <c r="B6" s="359">
        <f t="shared" ref="B6:B22" si="0">73920*281-520</f>
        <v>20771000</v>
      </c>
      <c r="C6" s="33">
        <f t="shared" ref="C6:C36" si="1">SUM(B6:B6)</f>
        <v>20771000</v>
      </c>
      <c r="E6" s="104">
        <v>46191</v>
      </c>
      <c r="F6" s="213">
        <v>120</v>
      </c>
      <c r="G6" s="104">
        <f>E6+F6</f>
        <v>46311</v>
      </c>
    </row>
    <row r="7" spans="1:7" x14ac:dyDescent="0.3">
      <c r="A7" s="6">
        <f>+A6+1</f>
        <v>46205</v>
      </c>
      <c r="B7" s="359">
        <f t="shared" si="0"/>
        <v>20771000</v>
      </c>
      <c r="C7" s="33">
        <f t="shared" si="1"/>
        <v>20771000</v>
      </c>
    </row>
    <row r="8" spans="1:7" x14ac:dyDescent="0.3">
      <c r="A8" s="6">
        <f t="shared" ref="A8:A36" si="2">+A7+1</f>
        <v>46206</v>
      </c>
      <c r="B8" s="359">
        <f t="shared" si="0"/>
        <v>20771000</v>
      </c>
      <c r="C8" s="33">
        <f t="shared" si="1"/>
        <v>20771000</v>
      </c>
      <c r="E8" s="258"/>
    </row>
    <row r="9" spans="1:7" x14ac:dyDescent="0.3">
      <c r="A9" s="6">
        <f t="shared" si="2"/>
        <v>46207</v>
      </c>
      <c r="B9" s="359">
        <f t="shared" si="0"/>
        <v>20771000</v>
      </c>
      <c r="C9" s="33">
        <f t="shared" si="1"/>
        <v>20771000</v>
      </c>
      <c r="D9" s="55"/>
    </row>
    <row r="10" spans="1:7" x14ac:dyDescent="0.3">
      <c r="A10" s="6">
        <f t="shared" si="2"/>
        <v>46208</v>
      </c>
      <c r="B10" s="359">
        <f t="shared" si="0"/>
        <v>20771000</v>
      </c>
      <c r="C10" s="33">
        <f t="shared" si="1"/>
        <v>20771000</v>
      </c>
    </row>
    <row r="11" spans="1:7" x14ac:dyDescent="0.3">
      <c r="A11" s="6">
        <f t="shared" si="2"/>
        <v>46209</v>
      </c>
      <c r="B11" s="359">
        <f t="shared" si="0"/>
        <v>20771000</v>
      </c>
      <c r="C11" s="33">
        <f t="shared" si="1"/>
        <v>20771000</v>
      </c>
      <c r="D11" s="55"/>
    </row>
    <row r="12" spans="1:7" x14ac:dyDescent="0.3">
      <c r="A12" s="6">
        <f t="shared" si="2"/>
        <v>46210</v>
      </c>
      <c r="B12" s="359">
        <f t="shared" si="0"/>
        <v>20771000</v>
      </c>
      <c r="C12" s="33">
        <f t="shared" si="1"/>
        <v>20771000</v>
      </c>
    </row>
    <row r="13" spans="1:7" x14ac:dyDescent="0.3">
      <c r="A13" s="6">
        <f t="shared" si="2"/>
        <v>46211</v>
      </c>
      <c r="B13" s="359">
        <f t="shared" si="0"/>
        <v>20771000</v>
      </c>
      <c r="C13" s="33">
        <f t="shared" si="1"/>
        <v>20771000</v>
      </c>
    </row>
    <row r="14" spans="1:7" x14ac:dyDescent="0.3">
      <c r="A14" s="6">
        <f t="shared" si="2"/>
        <v>46212</v>
      </c>
      <c r="B14" s="359">
        <f t="shared" si="0"/>
        <v>20771000</v>
      </c>
      <c r="C14" s="33">
        <f t="shared" si="1"/>
        <v>20771000</v>
      </c>
    </row>
    <row r="15" spans="1:7" x14ac:dyDescent="0.3">
      <c r="A15" s="315">
        <f t="shared" si="2"/>
        <v>46213</v>
      </c>
      <c r="B15" s="359">
        <f t="shared" si="0"/>
        <v>20771000</v>
      </c>
      <c r="C15" s="33">
        <f t="shared" si="1"/>
        <v>20771000</v>
      </c>
    </row>
    <row r="16" spans="1:7" x14ac:dyDescent="0.3">
      <c r="A16" s="315">
        <f t="shared" si="2"/>
        <v>46214</v>
      </c>
      <c r="B16" s="359">
        <f t="shared" si="0"/>
        <v>20771000</v>
      </c>
      <c r="C16" s="33">
        <f t="shared" si="1"/>
        <v>20771000</v>
      </c>
    </row>
    <row r="17" spans="1:10" x14ac:dyDescent="0.3">
      <c r="A17" s="315">
        <f t="shared" si="2"/>
        <v>46215</v>
      </c>
      <c r="B17" s="359">
        <f t="shared" si="0"/>
        <v>20771000</v>
      </c>
      <c r="C17" s="33">
        <f t="shared" si="1"/>
        <v>20771000</v>
      </c>
    </row>
    <row r="18" spans="1:10" x14ac:dyDescent="0.3">
      <c r="A18" s="315">
        <f t="shared" si="2"/>
        <v>46216</v>
      </c>
      <c r="B18" s="359">
        <f t="shared" si="0"/>
        <v>20771000</v>
      </c>
      <c r="C18" s="33">
        <f t="shared" si="1"/>
        <v>20771000</v>
      </c>
    </row>
    <row r="19" spans="1:10" x14ac:dyDescent="0.3">
      <c r="A19" s="6">
        <f t="shared" si="2"/>
        <v>46217</v>
      </c>
      <c r="B19" s="359">
        <f t="shared" si="0"/>
        <v>20771000</v>
      </c>
      <c r="C19" s="33">
        <f t="shared" si="1"/>
        <v>20771000</v>
      </c>
    </row>
    <row r="20" spans="1:10" x14ac:dyDescent="0.3">
      <c r="A20" s="6">
        <f t="shared" si="2"/>
        <v>46218</v>
      </c>
      <c r="B20" s="359">
        <f t="shared" si="0"/>
        <v>20771000</v>
      </c>
      <c r="C20" s="33">
        <f t="shared" si="1"/>
        <v>20771000</v>
      </c>
      <c r="D20" s="110"/>
      <c r="E20" s="111"/>
      <c r="J20" s="55"/>
    </row>
    <row r="21" spans="1:10" x14ac:dyDescent="0.3">
      <c r="A21" s="6">
        <f t="shared" si="2"/>
        <v>46219</v>
      </c>
      <c r="B21" s="359">
        <f t="shared" si="0"/>
        <v>20771000</v>
      </c>
      <c r="C21" s="33">
        <f t="shared" si="1"/>
        <v>20771000</v>
      </c>
      <c r="H21" s="55"/>
      <c r="J21" s="55"/>
    </row>
    <row r="22" spans="1:10" x14ac:dyDescent="0.3">
      <c r="A22" s="6">
        <f t="shared" si="2"/>
        <v>46220</v>
      </c>
      <c r="B22" s="359">
        <f t="shared" si="0"/>
        <v>20771000</v>
      </c>
      <c r="C22" s="33">
        <f t="shared" si="1"/>
        <v>20771000</v>
      </c>
      <c r="J22" s="55"/>
    </row>
    <row r="23" spans="1:10" x14ac:dyDescent="0.3">
      <c r="A23" s="6">
        <f t="shared" si="2"/>
        <v>46221</v>
      </c>
      <c r="B23" s="359">
        <f>73920*281-520</f>
        <v>20771000</v>
      </c>
      <c r="C23" s="33">
        <f t="shared" si="1"/>
        <v>20771000</v>
      </c>
    </row>
    <row r="24" spans="1:10" x14ac:dyDescent="0.3">
      <c r="A24" s="6">
        <f t="shared" si="2"/>
        <v>46222</v>
      </c>
      <c r="B24" s="359">
        <f t="shared" ref="B24:B36" si="3">73920*281-520</f>
        <v>20771000</v>
      </c>
      <c r="C24" s="33">
        <f t="shared" si="1"/>
        <v>20771000</v>
      </c>
    </row>
    <row r="25" spans="1:10" x14ac:dyDescent="0.3">
      <c r="A25" s="6">
        <f t="shared" si="2"/>
        <v>46223</v>
      </c>
      <c r="B25" s="359">
        <f t="shared" si="3"/>
        <v>20771000</v>
      </c>
      <c r="C25" s="33">
        <f t="shared" si="1"/>
        <v>20771000</v>
      </c>
    </row>
    <row r="26" spans="1:10" x14ac:dyDescent="0.3">
      <c r="A26" s="6">
        <f t="shared" si="2"/>
        <v>46224</v>
      </c>
      <c r="B26" s="359">
        <f t="shared" si="3"/>
        <v>20771000</v>
      </c>
      <c r="C26" s="33">
        <f t="shared" si="1"/>
        <v>20771000</v>
      </c>
    </row>
    <row r="27" spans="1:10" x14ac:dyDescent="0.3">
      <c r="A27" s="6">
        <f t="shared" si="2"/>
        <v>46225</v>
      </c>
      <c r="B27" s="359">
        <f t="shared" si="3"/>
        <v>20771000</v>
      </c>
      <c r="C27" s="33">
        <f t="shared" si="1"/>
        <v>20771000</v>
      </c>
      <c r="E27" s="83"/>
    </row>
    <row r="28" spans="1:10" x14ac:dyDescent="0.3">
      <c r="A28" s="6">
        <f t="shared" si="2"/>
        <v>46226</v>
      </c>
      <c r="B28" s="359">
        <f t="shared" si="3"/>
        <v>20771000</v>
      </c>
      <c r="C28" s="33">
        <f t="shared" si="1"/>
        <v>20771000</v>
      </c>
      <c r="E28" s="83"/>
    </row>
    <row r="29" spans="1:10" x14ac:dyDescent="0.3">
      <c r="A29" s="6">
        <f t="shared" si="2"/>
        <v>46227</v>
      </c>
      <c r="B29" s="359">
        <f t="shared" si="3"/>
        <v>20771000</v>
      </c>
      <c r="C29" s="33">
        <f t="shared" si="1"/>
        <v>20771000</v>
      </c>
      <c r="E29" s="83"/>
    </row>
    <row r="30" spans="1:10" x14ac:dyDescent="0.3">
      <c r="A30" s="6">
        <f t="shared" si="2"/>
        <v>46228</v>
      </c>
      <c r="B30" s="359">
        <f t="shared" si="3"/>
        <v>20771000</v>
      </c>
      <c r="C30" s="33">
        <f t="shared" si="1"/>
        <v>20771000</v>
      </c>
      <c r="E30" s="83"/>
    </row>
    <row r="31" spans="1:10" x14ac:dyDescent="0.3">
      <c r="A31" s="6">
        <f t="shared" si="2"/>
        <v>46229</v>
      </c>
      <c r="B31" s="359">
        <f t="shared" si="3"/>
        <v>20771000</v>
      </c>
      <c r="C31" s="33">
        <f t="shared" si="1"/>
        <v>20771000</v>
      </c>
      <c r="E31" s="83"/>
    </row>
    <row r="32" spans="1:10" x14ac:dyDescent="0.3">
      <c r="A32" s="6">
        <f t="shared" si="2"/>
        <v>46230</v>
      </c>
      <c r="B32" s="359">
        <f t="shared" si="3"/>
        <v>20771000</v>
      </c>
      <c r="C32" s="33">
        <f t="shared" si="1"/>
        <v>20771000</v>
      </c>
      <c r="E32" s="83"/>
    </row>
    <row r="33" spans="1:7" x14ac:dyDescent="0.3">
      <c r="A33" s="6">
        <f t="shared" si="2"/>
        <v>46231</v>
      </c>
      <c r="B33" s="359">
        <f t="shared" si="3"/>
        <v>20771000</v>
      </c>
      <c r="C33" s="33">
        <f t="shared" si="1"/>
        <v>20771000</v>
      </c>
      <c r="E33" s="83"/>
    </row>
    <row r="34" spans="1:7" x14ac:dyDescent="0.3">
      <c r="A34" s="6">
        <f t="shared" si="2"/>
        <v>46232</v>
      </c>
      <c r="B34" s="359">
        <f t="shared" si="3"/>
        <v>20771000</v>
      </c>
      <c r="C34" s="33">
        <f t="shared" si="1"/>
        <v>20771000</v>
      </c>
      <c r="E34" s="83"/>
    </row>
    <row r="35" spans="1:7" x14ac:dyDescent="0.3">
      <c r="A35" s="6">
        <f t="shared" si="2"/>
        <v>46233</v>
      </c>
      <c r="B35" s="359">
        <f t="shared" si="3"/>
        <v>20771000</v>
      </c>
      <c r="C35" s="33">
        <f t="shared" si="1"/>
        <v>20771000</v>
      </c>
      <c r="E35" s="83"/>
    </row>
    <row r="36" spans="1:7" x14ac:dyDescent="0.3">
      <c r="A36" s="6">
        <f t="shared" si="2"/>
        <v>46234</v>
      </c>
      <c r="B36" s="359">
        <f t="shared" si="3"/>
        <v>20771000</v>
      </c>
      <c r="C36" s="33">
        <f t="shared" si="1"/>
        <v>20771000</v>
      </c>
      <c r="E36" s="83"/>
    </row>
    <row r="37" spans="1:7" x14ac:dyDescent="0.3">
      <c r="A37" s="943" t="s">
        <v>56</v>
      </c>
      <c r="B37" s="943"/>
      <c r="C37" s="943"/>
      <c r="E37" s="83"/>
    </row>
    <row r="38" spans="1:7" s="57" customFormat="1" ht="41.4" x14ac:dyDescent="0.25">
      <c r="A38" s="51" t="s">
        <v>2</v>
      </c>
      <c r="B38" s="850" t="str">
        <f>B5</f>
        <v>D#
(C.D 18.06.2026 M.D 16.10.2026)</v>
      </c>
      <c r="C38" s="73" t="s">
        <v>0</v>
      </c>
      <c r="E38" s="802"/>
      <c r="F38" s="547"/>
      <c r="G38" s="547"/>
    </row>
    <row r="39" spans="1:7" s="93" customFormat="1" ht="27.6" x14ac:dyDescent="0.25">
      <c r="A39" s="377" t="s">
        <v>275</v>
      </c>
      <c r="B39" s="392">
        <f>11.99%+0.5%</f>
        <v>0.12490000000000001</v>
      </c>
      <c r="C39" s="92"/>
      <c r="F39" s="548"/>
      <c r="G39" s="825"/>
    </row>
    <row r="40" spans="1:7" x14ac:dyDescent="0.3">
      <c r="A40" s="6">
        <f t="shared" ref="A40:A69" si="4">A6</f>
        <v>46204</v>
      </c>
      <c r="B40" s="37">
        <f t="shared" ref="B40:B70" si="5">IF(B6&lt;0,0,B6*B$39/365)</f>
        <v>7107.6654794520555</v>
      </c>
      <c r="C40" s="33">
        <f t="shared" ref="C40:C71" si="6">SUM(B40:B40)</f>
        <v>7107.6654794520555</v>
      </c>
    </row>
    <row r="41" spans="1:7" x14ac:dyDescent="0.3">
      <c r="A41" s="6">
        <f t="shared" si="4"/>
        <v>46205</v>
      </c>
      <c r="B41" s="37">
        <f t="shared" si="5"/>
        <v>7107.6654794520555</v>
      </c>
      <c r="C41" s="33">
        <f t="shared" si="6"/>
        <v>7107.6654794520555</v>
      </c>
    </row>
    <row r="42" spans="1:7" x14ac:dyDescent="0.3">
      <c r="A42" s="6">
        <f t="shared" si="4"/>
        <v>46206</v>
      </c>
      <c r="B42" s="37">
        <f t="shared" si="5"/>
        <v>7107.6654794520555</v>
      </c>
      <c r="C42" s="33">
        <f t="shared" si="6"/>
        <v>7107.6654794520555</v>
      </c>
    </row>
    <row r="43" spans="1:7" x14ac:dyDescent="0.3">
      <c r="A43" s="6">
        <f t="shared" si="4"/>
        <v>46207</v>
      </c>
      <c r="B43" s="37">
        <f t="shared" si="5"/>
        <v>7107.6654794520555</v>
      </c>
      <c r="C43" s="33">
        <f t="shared" si="6"/>
        <v>7107.6654794520555</v>
      </c>
    </row>
    <row r="44" spans="1:7" x14ac:dyDescent="0.3">
      <c r="A44" s="6">
        <f t="shared" si="4"/>
        <v>46208</v>
      </c>
      <c r="B44" s="37">
        <f t="shared" si="5"/>
        <v>7107.6654794520555</v>
      </c>
      <c r="C44" s="33">
        <f t="shared" si="6"/>
        <v>7107.6654794520555</v>
      </c>
    </row>
    <row r="45" spans="1:7" x14ac:dyDescent="0.3">
      <c r="A45" s="6">
        <f t="shared" si="4"/>
        <v>46209</v>
      </c>
      <c r="B45" s="37">
        <f t="shared" si="5"/>
        <v>7107.6654794520555</v>
      </c>
      <c r="C45" s="33">
        <f t="shared" si="6"/>
        <v>7107.6654794520555</v>
      </c>
    </row>
    <row r="46" spans="1:7" x14ac:dyDescent="0.3">
      <c r="A46" s="6">
        <f t="shared" si="4"/>
        <v>46210</v>
      </c>
      <c r="B46" s="37">
        <f t="shared" si="5"/>
        <v>7107.6654794520555</v>
      </c>
      <c r="C46" s="33">
        <f t="shared" si="6"/>
        <v>7107.6654794520555</v>
      </c>
      <c r="D46" s="193"/>
      <c r="E46" s="193"/>
    </row>
    <row r="47" spans="1:7" x14ac:dyDescent="0.3">
      <c r="A47" s="6">
        <f t="shared" si="4"/>
        <v>46211</v>
      </c>
      <c r="B47" s="37">
        <f t="shared" si="5"/>
        <v>7107.6654794520555</v>
      </c>
      <c r="C47" s="33">
        <f t="shared" si="6"/>
        <v>7107.6654794520555</v>
      </c>
    </row>
    <row r="48" spans="1:7" x14ac:dyDescent="0.3">
      <c r="A48" s="6">
        <f t="shared" si="4"/>
        <v>46212</v>
      </c>
      <c r="B48" s="37">
        <f t="shared" si="5"/>
        <v>7107.6654794520555</v>
      </c>
      <c r="C48" s="33">
        <f t="shared" si="6"/>
        <v>7107.6654794520555</v>
      </c>
    </row>
    <row r="49" spans="1:3" x14ac:dyDescent="0.3">
      <c r="A49" s="6">
        <f t="shared" si="4"/>
        <v>46213</v>
      </c>
      <c r="B49" s="37">
        <f t="shared" si="5"/>
        <v>7107.6654794520555</v>
      </c>
      <c r="C49" s="33">
        <f t="shared" si="6"/>
        <v>7107.6654794520555</v>
      </c>
    </row>
    <row r="50" spans="1:3" x14ac:dyDescent="0.3">
      <c r="A50" s="6">
        <f t="shared" si="4"/>
        <v>46214</v>
      </c>
      <c r="B50" s="37">
        <f t="shared" si="5"/>
        <v>7107.6654794520555</v>
      </c>
      <c r="C50" s="33">
        <f t="shared" si="6"/>
        <v>7107.6654794520555</v>
      </c>
    </row>
    <row r="51" spans="1:3" x14ac:dyDescent="0.3">
      <c r="A51" s="6">
        <f t="shared" si="4"/>
        <v>46215</v>
      </c>
      <c r="B51" s="37">
        <f t="shared" si="5"/>
        <v>7107.6654794520555</v>
      </c>
      <c r="C51" s="33">
        <f t="shared" si="6"/>
        <v>7107.6654794520555</v>
      </c>
    </row>
    <row r="52" spans="1:3" x14ac:dyDescent="0.3">
      <c r="A52" s="6">
        <f t="shared" si="4"/>
        <v>46216</v>
      </c>
      <c r="B52" s="37">
        <f t="shared" si="5"/>
        <v>7107.6654794520555</v>
      </c>
      <c r="C52" s="33">
        <f t="shared" si="6"/>
        <v>7107.6654794520555</v>
      </c>
    </row>
    <row r="53" spans="1:3" x14ac:dyDescent="0.3">
      <c r="A53" s="6">
        <f t="shared" si="4"/>
        <v>46217</v>
      </c>
      <c r="B53" s="37">
        <f t="shared" si="5"/>
        <v>7107.6654794520555</v>
      </c>
      <c r="C53" s="33">
        <f t="shared" si="6"/>
        <v>7107.6654794520555</v>
      </c>
    </row>
    <row r="54" spans="1:3" x14ac:dyDescent="0.3">
      <c r="A54" s="6">
        <f t="shared" si="4"/>
        <v>46218</v>
      </c>
      <c r="B54" s="37">
        <f t="shared" si="5"/>
        <v>7107.6654794520555</v>
      </c>
      <c r="C54" s="33">
        <f t="shared" si="6"/>
        <v>7107.6654794520555</v>
      </c>
    </row>
    <row r="55" spans="1:3" x14ac:dyDescent="0.3">
      <c r="A55" s="6">
        <f t="shared" si="4"/>
        <v>46219</v>
      </c>
      <c r="B55" s="37">
        <f t="shared" si="5"/>
        <v>7107.6654794520555</v>
      </c>
      <c r="C55" s="33">
        <f t="shared" si="6"/>
        <v>7107.6654794520555</v>
      </c>
    </row>
    <row r="56" spans="1:3" x14ac:dyDescent="0.3">
      <c r="A56" s="6">
        <f t="shared" si="4"/>
        <v>46220</v>
      </c>
      <c r="B56" s="37">
        <f t="shared" si="5"/>
        <v>7107.6654794520555</v>
      </c>
      <c r="C56" s="33">
        <f t="shared" si="6"/>
        <v>7107.6654794520555</v>
      </c>
    </row>
    <row r="57" spans="1:3" x14ac:dyDescent="0.3">
      <c r="A57" s="6">
        <f t="shared" si="4"/>
        <v>46221</v>
      </c>
      <c r="B57" s="37">
        <f t="shared" si="5"/>
        <v>7107.6654794520555</v>
      </c>
      <c r="C57" s="33">
        <f t="shared" si="6"/>
        <v>7107.6654794520555</v>
      </c>
    </row>
    <row r="58" spans="1:3" x14ac:dyDescent="0.3">
      <c r="A58" s="6">
        <f t="shared" si="4"/>
        <v>46222</v>
      </c>
      <c r="B58" s="37">
        <f t="shared" si="5"/>
        <v>7107.6654794520555</v>
      </c>
      <c r="C58" s="33">
        <f t="shared" si="6"/>
        <v>7107.6654794520555</v>
      </c>
    </row>
    <row r="59" spans="1:3" x14ac:dyDescent="0.3">
      <c r="A59" s="6">
        <f t="shared" si="4"/>
        <v>46223</v>
      </c>
      <c r="B59" s="37">
        <f t="shared" si="5"/>
        <v>7107.6654794520555</v>
      </c>
      <c r="C59" s="33">
        <f t="shared" si="6"/>
        <v>7107.6654794520555</v>
      </c>
    </row>
    <row r="60" spans="1:3" x14ac:dyDescent="0.3">
      <c r="A60" s="6">
        <f t="shared" si="4"/>
        <v>46224</v>
      </c>
      <c r="B60" s="37">
        <f t="shared" si="5"/>
        <v>7107.6654794520555</v>
      </c>
      <c r="C60" s="33">
        <f t="shared" si="6"/>
        <v>7107.6654794520555</v>
      </c>
    </row>
    <row r="61" spans="1:3" x14ac:dyDescent="0.3">
      <c r="A61" s="6">
        <f t="shared" si="4"/>
        <v>46225</v>
      </c>
      <c r="B61" s="37">
        <f t="shared" si="5"/>
        <v>7107.6654794520555</v>
      </c>
      <c r="C61" s="33">
        <f t="shared" si="6"/>
        <v>7107.6654794520555</v>
      </c>
    </row>
    <row r="62" spans="1:3" x14ac:dyDescent="0.3">
      <c r="A62" s="6">
        <f t="shared" si="4"/>
        <v>46226</v>
      </c>
      <c r="B62" s="37">
        <f t="shared" si="5"/>
        <v>7107.6654794520555</v>
      </c>
      <c r="C62" s="33">
        <f t="shared" si="6"/>
        <v>7107.6654794520555</v>
      </c>
    </row>
    <row r="63" spans="1:3" x14ac:dyDescent="0.3">
      <c r="A63" s="6">
        <f t="shared" si="4"/>
        <v>46227</v>
      </c>
      <c r="B63" s="37">
        <f t="shared" si="5"/>
        <v>7107.6654794520555</v>
      </c>
      <c r="C63" s="33">
        <f t="shared" si="6"/>
        <v>7107.6654794520555</v>
      </c>
    </row>
    <row r="64" spans="1:3" x14ac:dyDescent="0.3">
      <c r="A64" s="6">
        <f t="shared" si="4"/>
        <v>46228</v>
      </c>
      <c r="B64" s="37">
        <f t="shared" si="5"/>
        <v>7107.6654794520555</v>
      </c>
      <c r="C64" s="33">
        <f t="shared" si="6"/>
        <v>7107.6654794520555</v>
      </c>
    </row>
    <row r="65" spans="1:7" x14ac:dyDescent="0.3">
      <c r="A65" s="6">
        <f t="shared" si="4"/>
        <v>46229</v>
      </c>
      <c r="B65" s="37">
        <f t="shared" si="5"/>
        <v>7107.6654794520555</v>
      </c>
      <c r="C65" s="33">
        <f t="shared" si="6"/>
        <v>7107.6654794520555</v>
      </c>
    </row>
    <row r="66" spans="1:7" x14ac:dyDescent="0.3">
      <c r="A66" s="6">
        <f t="shared" si="4"/>
        <v>46230</v>
      </c>
      <c r="B66" s="37">
        <f t="shared" si="5"/>
        <v>7107.6654794520555</v>
      </c>
      <c r="C66" s="33">
        <f t="shared" si="6"/>
        <v>7107.6654794520555</v>
      </c>
    </row>
    <row r="67" spans="1:7" x14ac:dyDescent="0.3">
      <c r="A67" s="6">
        <f t="shared" si="4"/>
        <v>46231</v>
      </c>
      <c r="B67" s="37">
        <f t="shared" si="5"/>
        <v>7107.6654794520555</v>
      </c>
      <c r="C67" s="33">
        <f t="shared" si="6"/>
        <v>7107.6654794520555</v>
      </c>
    </row>
    <row r="68" spans="1:7" x14ac:dyDescent="0.3">
      <c r="A68" s="6">
        <f t="shared" si="4"/>
        <v>46232</v>
      </c>
      <c r="B68" s="37">
        <f t="shared" si="5"/>
        <v>7107.6654794520555</v>
      </c>
      <c r="C68" s="33">
        <f t="shared" si="6"/>
        <v>7107.6654794520555</v>
      </c>
    </row>
    <row r="69" spans="1:7" x14ac:dyDescent="0.3">
      <c r="A69" s="6">
        <f t="shared" si="4"/>
        <v>46233</v>
      </c>
      <c r="B69" s="37">
        <f t="shared" si="5"/>
        <v>7107.6654794520555</v>
      </c>
      <c r="C69" s="33">
        <f t="shared" si="6"/>
        <v>7107.6654794520555</v>
      </c>
    </row>
    <row r="70" spans="1:7" x14ac:dyDescent="0.3">
      <c r="A70" s="6">
        <f t="shared" ref="A70" si="7">A36</f>
        <v>46234</v>
      </c>
      <c r="B70" s="37">
        <f t="shared" si="5"/>
        <v>7107.6654794520555</v>
      </c>
      <c r="C70" s="33">
        <f t="shared" si="6"/>
        <v>7107.6654794520555</v>
      </c>
    </row>
    <row r="71" spans="1:7" x14ac:dyDescent="0.3">
      <c r="A71" s="9" t="s">
        <v>14</v>
      </c>
      <c r="B71" s="36">
        <f>SUM(B40:B70)</f>
        <v>220337.62986301378</v>
      </c>
      <c r="C71" s="33">
        <f t="shared" si="6"/>
        <v>220337.62986301378</v>
      </c>
    </row>
    <row r="72" spans="1:7" x14ac:dyDescent="0.3">
      <c r="A72" s="940"/>
      <c r="B72" s="940"/>
      <c r="C72" s="940"/>
    </row>
    <row r="73" spans="1:7" x14ac:dyDescent="0.3">
      <c r="A73" s="943" t="s">
        <v>73</v>
      </c>
      <c r="B73" s="943"/>
      <c r="C73" s="943"/>
    </row>
    <row r="74" spans="1:7" s="57" customFormat="1" ht="41.4" x14ac:dyDescent="0.3">
      <c r="A74" s="109" t="s">
        <v>18</v>
      </c>
      <c r="B74" s="396" t="str">
        <f>B5</f>
        <v>D#
(C.D 18.06.2026 M.D 16.10.2026)</v>
      </c>
      <c r="C74" s="73" t="s">
        <v>0</v>
      </c>
      <c r="F74" s="547"/>
    </row>
    <row r="75" spans="1:7" x14ac:dyDescent="0.3">
      <c r="A75" s="12" t="s">
        <v>15</v>
      </c>
      <c r="B75" s="797">
        <v>92399.651232876742</v>
      </c>
      <c r="C75" s="534">
        <f>SUM(B75:B75)</f>
        <v>92399.651232876742</v>
      </c>
      <c r="D75" s="110"/>
      <c r="E75" s="154"/>
    </row>
    <row r="76" spans="1:7" x14ac:dyDescent="0.3">
      <c r="A76" s="12" t="s">
        <v>16</v>
      </c>
      <c r="B76" s="349">
        <f>B71</f>
        <v>220337.62986301378</v>
      </c>
      <c r="C76" s="534">
        <f>SUM(B76:B76)</f>
        <v>220337.62986301378</v>
      </c>
      <c r="E76" s="55"/>
    </row>
    <row r="77" spans="1:7" x14ac:dyDescent="0.3">
      <c r="A77" s="12" t="s">
        <v>26</v>
      </c>
      <c r="B77" s="151">
        <v>0</v>
      </c>
      <c r="C77" s="534">
        <f>SUM(B77:B77)</f>
        <v>0</v>
      </c>
      <c r="D77" s="116"/>
      <c r="E77" s="78"/>
    </row>
    <row r="78" spans="1:7" x14ac:dyDescent="0.3">
      <c r="A78" s="12" t="s">
        <v>14</v>
      </c>
      <c r="B78" s="37">
        <f>SUM(B75:B77)</f>
        <v>312737.2810958905</v>
      </c>
      <c r="C78" s="534">
        <f>SUM(B78:B78)</f>
        <v>312737.2810958905</v>
      </c>
    </row>
    <row r="79" spans="1:7" x14ac:dyDescent="0.3">
      <c r="A79" s="939"/>
      <c r="B79" s="940"/>
      <c r="C79" s="998"/>
    </row>
    <row r="80" spans="1:7" ht="17.399999999999999" x14ac:dyDescent="0.3">
      <c r="A80" s="12" t="s">
        <v>30</v>
      </c>
      <c r="B80" s="37">
        <v>0</v>
      </c>
      <c r="C80" s="349">
        <f>SUM(B80:B80)</f>
        <v>0</v>
      </c>
      <c r="D80" s="242"/>
      <c r="E80" s="811"/>
      <c r="F80" s="708"/>
      <c r="G80" s="258"/>
    </row>
    <row r="81" spans="1:8" x14ac:dyDescent="0.3">
      <c r="A81" s="999"/>
      <c r="B81" s="999"/>
      <c r="C81" s="1000"/>
      <c r="D81" s="55"/>
      <c r="E81" s="55"/>
    </row>
    <row r="82" spans="1:8" x14ac:dyDescent="0.3">
      <c r="A82" s="12" t="s">
        <v>4</v>
      </c>
      <c r="B82" s="349"/>
      <c r="C82" s="37"/>
      <c r="E82" s="55"/>
    </row>
    <row r="83" spans="1:8" x14ac:dyDescent="0.3">
      <c r="A83" s="940"/>
      <c r="B83" s="940"/>
      <c r="C83" s="996"/>
      <c r="E83" s="48"/>
      <c r="G83" s="55"/>
    </row>
    <row r="84" spans="1:8" x14ac:dyDescent="0.3">
      <c r="A84" s="28" t="s">
        <v>17</v>
      </c>
      <c r="B84" s="393">
        <f>B71+B77+B82</f>
        <v>220337.62986301378</v>
      </c>
      <c r="C84" s="38">
        <f>SUM(B84:B84)</f>
        <v>220337.62986301378</v>
      </c>
      <c r="G84" s="55"/>
      <c r="H84" s="55"/>
    </row>
    <row r="85" spans="1:8" x14ac:dyDescent="0.3">
      <c r="A85" s="940"/>
      <c r="B85" s="940"/>
      <c r="C85" s="996"/>
      <c r="E85" s="48"/>
    </row>
    <row r="86" spans="1:8" x14ac:dyDescent="0.3">
      <c r="A86" s="99" t="s">
        <v>31</v>
      </c>
      <c r="B86" s="108">
        <f>B78+B82-B80</f>
        <v>312737.2810958905</v>
      </c>
      <c r="C86" s="108">
        <f>C78+C82-C80-C79</f>
        <v>312737.2810958905</v>
      </c>
      <c r="E86" s="48"/>
    </row>
    <row r="87" spans="1:8" x14ac:dyDescent="0.3">
      <c r="A87" s="322" t="s">
        <v>254</v>
      </c>
      <c r="B87" s="399">
        <v>30000914</v>
      </c>
      <c r="E87" s="48"/>
    </row>
    <row r="88" spans="1:8" x14ac:dyDescent="0.3">
      <c r="B88" s="139"/>
    </row>
    <row r="90" spans="1:8" x14ac:dyDescent="0.3">
      <c r="A90" s="318" t="s">
        <v>265</v>
      </c>
      <c r="B90" s="322">
        <v>9200000030</v>
      </c>
    </row>
    <row r="91" spans="1:8" x14ac:dyDescent="0.3">
      <c r="A91" s="318" t="s">
        <v>266</v>
      </c>
      <c r="B91" s="322">
        <v>40000015</v>
      </c>
    </row>
  </sheetData>
  <mergeCells count="10">
    <mergeCell ref="A1:C1"/>
    <mergeCell ref="A3:C3"/>
    <mergeCell ref="A4:C4"/>
    <mergeCell ref="A37:C37"/>
    <mergeCell ref="A85:C85"/>
    <mergeCell ref="A72:C72"/>
    <mergeCell ref="A73:C73"/>
    <mergeCell ref="A79:C79"/>
    <mergeCell ref="A81:C81"/>
    <mergeCell ref="A83:C83"/>
  </mergeCells>
  <pageMargins left="0.70866141732283472" right="0.70866141732283472" top="0.74803149606299213" bottom="0.74803149606299213" header="0.31496062992125984" footer="0.31496062992125984"/>
  <pageSetup scale="45" orientation="portrait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C72D-6ED6-4ED8-8761-9DE89D6228DE}">
  <sheetPr>
    <tabColor theme="0"/>
  </sheetPr>
  <dimension ref="A1:M50"/>
  <sheetViews>
    <sheetView view="pageBreakPreview" topLeftCell="A31" zoomScaleNormal="100" zoomScaleSheetLayoutView="100" workbookViewId="0">
      <selection activeCell="J41" sqref="J41"/>
    </sheetView>
  </sheetViews>
  <sheetFormatPr defaultRowHeight="15.6" x14ac:dyDescent="0.3"/>
  <cols>
    <col min="1" max="1" width="9.6328125" style="3" customWidth="1"/>
    <col min="2" max="2" width="12.453125" style="2" customWidth="1"/>
    <col min="3" max="3" width="10.90625" style="2" bestFit="1" customWidth="1"/>
    <col min="4" max="4" width="11" style="2" customWidth="1"/>
    <col min="5" max="5" width="12" style="2" customWidth="1"/>
    <col min="6" max="6" width="2.36328125" style="3" customWidth="1"/>
    <col min="7" max="7" width="7.08984375" style="3" customWidth="1"/>
    <col min="8" max="8" width="8.6328125" style="331" customWidth="1"/>
    <col min="9" max="9" width="9.453125" style="3" customWidth="1"/>
    <col min="10" max="10" width="11.08984375" style="3" customWidth="1"/>
    <col min="11" max="11" width="12.81640625" style="222" bestFit="1" customWidth="1"/>
    <col min="12" max="12" width="16.36328125" bestFit="1" customWidth="1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158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349">
        <v>86191339.510000005</v>
      </c>
      <c r="L3" s="83"/>
      <c r="M3" s="55"/>
    </row>
    <row r="4" spans="1:13" s="71" customFormat="1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F4" s="3"/>
      <c r="G4" s="962" t="s">
        <v>168</v>
      </c>
      <c r="H4" s="976" t="s">
        <v>55</v>
      </c>
      <c r="I4" s="976" t="s">
        <v>169</v>
      </c>
      <c r="J4" s="971" t="s">
        <v>170</v>
      </c>
      <c r="K4" s="222"/>
    </row>
    <row r="5" spans="1:13" s="71" customFormat="1" ht="13.8" x14ac:dyDescent="0.3">
      <c r="A5" s="958"/>
      <c r="B5" s="983"/>
      <c r="C5" s="67" t="s">
        <v>7</v>
      </c>
      <c r="D5" s="67" t="s">
        <v>8</v>
      </c>
      <c r="E5" s="960"/>
      <c r="F5" s="3"/>
      <c r="G5" s="963"/>
      <c r="H5" s="977"/>
      <c r="I5" s="977"/>
      <c r="J5" s="972"/>
      <c r="K5" s="222"/>
    </row>
    <row r="6" spans="1:13" s="350" customFormat="1" x14ac:dyDescent="0.3">
      <c r="A6" s="315">
        <v>46204</v>
      </c>
      <c r="B6" s="349">
        <v>0</v>
      </c>
      <c r="C6" s="584"/>
      <c r="D6" s="584"/>
      <c r="E6" s="381">
        <f>SUM(B6:D6)</f>
        <v>0</v>
      </c>
      <c r="F6" s="331"/>
      <c r="G6" s="382">
        <v>5.0000000000000001E-3</v>
      </c>
      <c r="H6" s="336">
        <v>0.11899999999999999</v>
      </c>
      <c r="I6" s="383">
        <f>+H6+G6</f>
        <v>0.124</v>
      </c>
      <c r="J6" s="385">
        <f>IF(E6&lt;0,0,E6*I6/365)</f>
        <v>0</v>
      </c>
      <c r="K6" s="703">
        <f>E6-K3</f>
        <v>-86191339.510000005</v>
      </c>
      <c r="L6" s="405"/>
    </row>
    <row r="7" spans="1:13" s="350" customFormat="1" x14ac:dyDescent="0.3">
      <c r="A7" s="315">
        <f>+A6+1</f>
        <v>46205</v>
      </c>
      <c r="B7" s="1020">
        <v>6694845.65</v>
      </c>
      <c r="C7" s="596"/>
      <c r="D7" s="584"/>
      <c r="E7" s="381">
        <f t="shared" ref="E7:E31" si="0">SUM(B7:D7)</f>
        <v>0</v>
      </c>
      <c r="F7" s="331"/>
      <c r="G7" s="382">
        <v>5.0000000000000001E-3</v>
      </c>
      <c r="H7" s="336">
        <v>0.11899999999999999</v>
      </c>
      <c r="I7" s="383">
        <f>+H7+G7</f>
        <v>0.124</v>
      </c>
      <c r="J7" s="385">
        <f t="shared" ref="J7:J31" si="1">IF(E7&lt;0,0,E7*I7/365)</f>
        <v>0</v>
      </c>
      <c r="K7" s="703">
        <f>E7-E6</f>
        <v>0</v>
      </c>
    </row>
    <row r="8" spans="1:13" x14ac:dyDescent="0.3">
      <c r="A8" s="6">
        <f t="shared" ref="A8:A36" si="2">+A7+1</f>
        <v>46206</v>
      </c>
      <c r="B8" s="1020">
        <v>6600676.25</v>
      </c>
      <c r="C8" s="596"/>
      <c r="D8" s="584"/>
      <c r="E8" s="5">
        <f t="shared" si="0"/>
        <v>0</v>
      </c>
      <c r="G8" s="15">
        <v>5.0000000000000001E-3</v>
      </c>
      <c r="H8" s="336">
        <v>0.11899999999999999</v>
      </c>
      <c r="I8" s="16">
        <f t="shared" ref="I8:I31" si="3">+H8+G8</f>
        <v>0.124</v>
      </c>
      <c r="J8" s="17">
        <f t="shared" si="1"/>
        <v>0</v>
      </c>
      <c r="K8" s="703">
        <f>E8-E7</f>
        <v>0</v>
      </c>
    </row>
    <row r="9" spans="1:13" x14ac:dyDescent="0.3">
      <c r="A9" s="6">
        <f t="shared" si="2"/>
        <v>46207</v>
      </c>
      <c r="B9" s="1020">
        <v>6600676.25</v>
      </c>
      <c r="C9" s="41"/>
      <c r="D9" s="584"/>
      <c r="E9" s="5">
        <f t="shared" si="0"/>
        <v>0</v>
      </c>
      <c r="G9" s="15">
        <v>5.0000000000000001E-3</v>
      </c>
      <c r="H9" s="336">
        <v>0.11899999999999999</v>
      </c>
      <c r="I9" s="16">
        <f t="shared" si="3"/>
        <v>0.124</v>
      </c>
      <c r="J9" s="17">
        <f t="shared" si="1"/>
        <v>0</v>
      </c>
      <c r="K9" s="703">
        <f>E9-E8</f>
        <v>0</v>
      </c>
      <c r="L9" s="55"/>
    </row>
    <row r="10" spans="1:13" x14ac:dyDescent="0.3">
      <c r="A10" s="6">
        <f t="shared" si="2"/>
        <v>46208</v>
      </c>
      <c r="B10" s="1020">
        <v>6600676.25</v>
      </c>
      <c r="C10" s="35"/>
      <c r="D10" s="584"/>
      <c r="E10" s="5">
        <f t="shared" si="0"/>
        <v>0</v>
      </c>
      <c r="G10" s="15">
        <v>5.0000000000000001E-3</v>
      </c>
      <c r="H10" s="336">
        <v>0.11899999999999999</v>
      </c>
      <c r="I10" s="16">
        <f t="shared" si="3"/>
        <v>0.124</v>
      </c>
      <c r="J10" s="17">
        <f t="shared" si="1"/>
        <v>0</v>
      </c>
      <c r="K10" s="703">
        <f t="shared" ref="K10:K31" si="4">E10-E9</f>
        <v>0</v>
      </c>
      <c r="L10" s="55"/>
    </row>
    <row r="11" spans="1:13" x14ac:dyDescent="0.3">
      <c r="A11" s="6">
        <f t="shared" si="2"/>
        <v>46209</v>
      </c>
      <c r="B11" s="1020">
        <v>6600676.25</v>
      </c>
      <c r="C11" s="35"/>
      <c r="D11" s="584"/>
      <c r="E11" s="5">
        <f>SUM(B11:D11)</f>
        <v>0</v>
      </c>
      <c r="G11" s="15">
        <v>5.0000000000000001E-3</v>
      </c>
      <c r="H11" s="336">
        <v>0.11899999999999999</v>
      </c>
      <c r="I11" s="16">
        <f t="shared" si="3"/>
        <v>0.124</v>
      </c>
      <c r="J11" s="17">
        <f t="shared" si="1"/>
        <v>0</v>
      </c>
      <c r="K11" s="703">
        <f t="shared" si="4"/>
        <v>0</v>
      </c>
    </row>
    <row r="12" spans="1:13" x14ac:dyDescent="0.3">
      <c r="A12" s="6">
        <f t="shared" si="2"/>
        <v>46210</v>
      </c>
      <c r="B12" s="349">
        <v>0</v>
      </c>
      <c r="C12" s="35"/>
      <c r="D12" s="584"/>
      <c r="E12" s="5">
        <f t="shared" si="0"/>
        <v>0</v>
      </c>
      <c r="G12" s="15">
        <v>5.0000000000000001E-3</v>
      </c>
      <c r="H12" s="336">
        <v>0.11899999999999999</v>
      </c>
      <c r="I12" s="16">
        <f t="shared" si="3"/>
        <v>0.124</v>
      </c>
      <c r="J12" s="17">
        <f t="shared" si="1"/>
        <v>0</v>
      </c>
      <c r="K12" s="703">
        <f t="shared" si="4"/>
        <v>0</v>
      </c>
    </row>
    <row r="13" spans="1:13" x14ac:dyDescent="0.3">
      <c r="A13" s="6">
        <f t="shared" si="2"/>
        <v>46211</v>
      </c>
      <c r="B13" s="349">
        <v>0</v>
      </c>
      <c r="C13" s="35"/>
      <c r="D13" s="584"/>
      <c r="E13" s="5">
        <f t="shared" si="0"/>
        <v>0</v>
      </c>
      <c r="G13" s="15">
        <v>5.0000000000000001E-3</v>
      </c>
      <c r="H13" s="336">
        <v>0.11899999999999999</v>
      </c>
      <c r="I13" s="16">
        <f t="shared" si="3"/>
        <v>0.124</v>
      </c>
      <c r="J13" s="17">
        <f t="shared" si="1"/>
        <v>0</v>
      </c>
      <c r="K13" s="703">
        <f t="shared" si="4"/>
        <v>0</v>
      </c>
    </row>
    <row r="14" spans="1:13" x14ac:dyDescent="0.3">
      <c r="A14" s="6">
        <f t="shared" si="2"/>
        <v>46212</v>
      </c>
      <c r="B14" s="349">
        <v>0</v>
      </c>
      <c r="C14" s="35"/>
      <c r="D14" s="584"/>
      <c r="E14" s="5">
        <f t="shared" si="0"/>
        <v>0</v>
      </c>
      <c r="G14" s="15">
        <v>5.0000000000000001E-3</v>
      </c>
      <c r="H14" s="336">
        <v>0.11899999999999999</v>
      </c>
      <c r="I14" s="16">
        <f t="shared" si="3"/>
        <v>0.124</v>
      </c>
      <c r="J14" s="17">
        <f t="shared" si="1"/>
        <v>0</v>
      </c>
      <c r="K14" s="703">
        <f t="shared" si="4"/>
        <v>0</v>
      </c>
    </row>
    <row r="15" spans="1:13" x14ac:dyDescent="0.3">
      <c r="A15" s="6">
        <f t="shared" si="2"/>
        <v>46213</v>
      </c>
      <c r="B15" s="349">
        <v>0</v>
      </c>
      <c r="C15" s="35"/>
      <c r="D15" s="584"/>
      <c r="E15" s="5">
        <f t="shared" si="0"/>
        <v>0</v>
      </c>
      <c r="G15" s="15">
        <v>5.0000000000000001E-3</v>
      </c>
      <c r="H15" s="336">
        <v>0.11899999999999999</v>
      </c>
      <c r="I15" s="16">
        <f t="shared" si="3"/>
        <v>0.124</v>
      </c>
      <c r="J15" s="17">
        <f t="shared" si="1"/>
        <v>0</v>
      </c>
      <c r="K15" s="703">
        <f t="shared" si="4"/>
        <v>0</v>
      </c>
    </row>
    <row r="16" spans="1:13" s="361" customFormat="1" x14ac:dyDescent="0.3">
      <c r="A16" s="6">
        <f t="shared" si="2"/>
        <v>46214</v>
      </c>
      <c r="B16" s="349">
        <v>0</v>
      </c>
      <c r="C16" s="35"/>
      <c r="D16" s="584"/>
      <c r="E16" s="5">
        <f t="shared" si="0"/>
        <v>0</v>
      </c>
      <c r="F16" s="3"/>
      <c r="G16" s="15">
        <v>5.0000000000000001E-3</v>
      </c>
      <c r="H16" s="336">
        <v>0.11899999999999999</v>
      </c>
      <c r="I16" s="16">
        <f t="shared" si="3"/>
        <v>0.124</v>
      </c>
      <c r="J16" s="17">
        <f t="shared" si="1"/>
        <v>0</v>
      </c>
      <c r="K16" s="703">
        <f t="shared" si="4"/>
        <v>0</v>
      </c>
    </row>
    <row r="17" spans="1:11" s="361" customFormat="1" x14ac:dyDescent="0.3">
      <c r="A17" s="6">
        <f t="shared" si="2"/>
        <v>46215</v>
      </c>
      <c r="B17" s="349">
        <v>0</v>
      </c>
      <c r="C17" s="35"/>
      <c r="D17" s="584"/>
      <c r="E17" s="5">
        <f>SUM(B17:D17)</f>
        <v>0</v>
      </c>
      <c r="F17" s="3"/>
      <c r="G17" s="15">
        <v>5.0000000000000001E-3</v>
      </c>
      <c r="H17" s="336">
        <v>0.11899999999999999</v>
      </c>
      <c r="I17" s="16">
        <f t="shared" si="3"/>
        <v>0.124</v>
      </c>
      <c r="J17" s="17">
        <f t="shared" si="1"/>
        <v>0</v>
      </c>
      <c r="K17" s="243">
        <f>E17-E16</f>
        <v>0</v>
      </c>
    </row>
    <row r="18" spans="1:11" s="361" customFormat="1" x14ac:dyDescent="0.3">
      <c r="A18" s="6">
        <f t="shared" si="2"/>
        <v>46216</v>
      </c>
      <c r="B18" s="349">
        <v>0</v>
      </c>
      <c r="C18" s="35"/>
      <c r="D18" s="584"/>
      <c r="E18" s="5">
        <f t="shared" si="0"/>
        <v>0</v>
      </c>
      <c r="F18" s="3"/>
      <c r="G18" s="15">
        <v>5.0000000000000001E-3</v>
      </c>
      <c r="H18" s="336">
        <v>0.11899999999999999</v>
      </c>
      <c r="I18" s="16">
        <f t="shared" si="3"/>
        <v>0.124</v>
      </c>
      <c r="J18" s="17">
        <f t="shared" si="1"/>
        <v>0</v>
      </c>
      <c r="K18" s="243">
        <f t="shared" si="4"/>
        <v>0</v>
      </c>
    </row>
    <row r="19" spans="1:11" s="361" customFormat="1" x14ac:dyDescent="0.3">
      <c r="A19" s="6">
        <f t="shared" si="2"/>
        <v>46217</v>
      </c>
      <c r="B19" s="349">
        <v>0</v>
      </c>
      <c r="C19" s="35"/>
      <c r="D19" s="584"/>
      <c r="E19" s="5">
        <f t="shared" si="0"/>
        <v>0</v>
      </c>
      <c r="F19" s="3"/>
      <c r="G19" s="15">
        <v>5.0000000000000001E-3</v>
      </c>
      <c r="H19" s="336">
        <v>0.11899999999999999</v>
      </c>
      <c r="I19" s="16">
        <f t="shared" si="3"/>
        <v>0.124</v>
      </c>
      <c r="J19" s="17">
        <f t="shared" si="1"/>
        <v>0</v>
      </c>
      <c r="K19" s="243">
        <f t="shared" si="4"/>
        <v>0</v>
      </c>
    </row>
    <row r="20" spans="1:11" s="361" customFormat="1" x14ac:dyDescent="0.3">
      <c r="A20" s="6">
        <f t="shared" si="2"/>
        <v>46218</v>
      </c>
      <c r="B20" s="349">
        <v>0</v>
      </c>
      <c r="C20" s="35"/>
      <c r="D20" s="584"/>
      <c r="E20" s="5">
        <f t="shared" si="0"/>
        <v>0</v>
      </c>
      <c r="F20" s="3"/>
      <c r="G20" s="15">
        <v>5.0000000000000001E-3</v>
      </c>
      <c r="H20" s="336">
        <v>0.11899999999999999</v>
      </c>
      <c r="I20" s="16">
        <f t="shared" si="3"/>
        <v>0.124</v>
      </c>
      <c r="J20" s="17">
        <f t="shared" si="1"/>
        <v>0</v>
      </c>
      <c r="K20" s="243">
        <f t="shared" si="4"/>
        <v>0</v>
      </c>
    </row>
    <row r="21" spans="1:11" s="361" customFormat="1" x14ac:dyDescent="0.3">
      <c r="A21" s="6">
        <f t="shared" si="2"/>
        <v>46219</v>
      </c>
      <c r="B21" s="349">
        <v>0</v>
      </c>
      <c r="C21" s="35"/>
      <c r="D21" s="584"/>
      <c r="E21" s="5">
        <f t="shared" si="0"/>
        <v>0</v>
      </c>
      <c r="F21" s="3"/>
      <c r="G21" s="15">
        <v>5.0000000000000001E-3</v>
      </c>
      <c r="H21" s="336">
        <v>0.11899999999999999</v>
      </c>
      <c r="I21" s="16">
        <f t="shared" si="3"/>
        <v>0.124</v>
      </c>
      <c r="J21" s="17">
        <f t="shared" si="1"/>
        <v>0</v>
      </c>
      <c r="K21" s="243">
        <f t="shared" si="4"/>
        <v>0</v>
      </c>
    </row>
    <row r="22" spans="1:11" s="752" customFormat="1" x14ac:dyDescent="0.3">
      <c r="A22" s="315">
        <f t="shared" si="2"/>
        <v>46220</v>
      </c>
      <c r="B22" s="349">
        <v>0</v>
      </c>
      <c r="C22" s="414"/>
      <c r="D22" s="584"/>
      <c r="E22" s="381">
        <f>SUM(B22:D22)</f>
        <v>0</v>
      </c>
      <c r="F22" s="331"/>
      <c r="G22" s="382">
        <v>5.0000000000000001E-3</v>
      </c>
      <c r="H22" s="336">
        <v>0.11899999999999999</v>
      </c>
      <c r="I22" s="383">
        <f t="shared" si="3"/>
        <v>0.124</v>
      </c>
      <c r="J22" s="385">
        <f t="shared" si="1"/>
        <v>0</v>
      </c>
      <c r="K22" s="703">
        <f t="shared" si="4"/>
        <v>0</v>
      </c>
    </row>
    <row r="23" spans="1:11" s="361" customFormat="1" x14ac:dyDescent="0.3">
      <c r="A23" s="6">
        <f t="shared" si="2"/>
        <v>46221</v>
      </c>
      <c r="B23" s="349">
        <v>0</v>
      </c>
      <c r="C23" s="35"/>
      <c r="D23" s="584"/>
      <c r="E23" s="5">
        <f t="shared" si="0"/>
        <v>0</v>
      </c>
      <c r="F23" s="3"/>
      <c r="G23" s="15">
        <v>5.0000000000000001E-3</v>
      </c>
      <c r="H23" s="336">
        <v>0.11899999999999999</v>
      </c>
      <c r="I23" s="16">
        <f t="shared" si="3"/>
        <v>0.124</v>
      </c>
      <c r="J23" s="17">
        <f t="shared" si="1"/>
        <v>0</v>
      </c>
      <c r="K23" s="243">
        <f t="shared" si="4"/>
        <v>0</v>
      </c>
    </row>
    <row r="24" spans="1:11" s="361" customFormat="1" x14ac:dyDescent="0.3">
      <c r="A24" s="6">
        <f t="shared" si="2"/>
        <v>46222</v>
      </c>
      <c r="B24" s="349">
        <v>0</v>
      </c>
      <c r="C24" s="35"/>
      <c r="D24" s="584"/>
      <c r="E24" s="5">
        <f t="shared" si="0"/>
        <v>0</v>
      </c>
      <c r="F24" s="3"/>
      <c r="G24" s="15">
        <v>5.0000000000000001E-3</v>
      </c>
      <c r="H24" s="336">
        <v>0.11899999999999999</v>
      </c>
      <c r="I24" s="16">
        <f t="shared" si="3"/>
        <v>0.124</v>
      </c>
      <c r="J24" s="17">
        <f t="shared" si="1"/>
        <v>0</v>
      </c>
      <c r="K24" s="243">
        <f t="shared" si="4"/>
        <v>0</v>
      </c>
    </row>
    <row r="25" spans="1:11" x14ac:dyDescent="0.3">
      <c r="A25" s="6">
        <f t="shared" si="2"/>
        <v>46223</v>
      </c>
      <c r="B25" s="349">
        <v>0</v>
      </c>
      <c r="C25" s="35"/>
      <c r="D25" s="584"/>
      <c r="E25" s="5">
        <f t="shared" si="0"/>
        <v>0</v>
      </c>
      <c r="G25" s="15">
        <v>5.0000000000000001E-3</v>
      </c>
      <c r="H25" s="336">
        <v>0.11899999999999999</v>
      </c>
      <c r="I25" s="16">
        <f t="shared" si="3"/>
        <v>0.124</v>
      </c>
      <c r="J25" s="17">
        <f t="shared" si="1"/>
        <v>0</v>
      </c>
      <c r="K25" s="243">
        <f>E25-E24</f>
        <v>0</v>
      </c>
    </row>
    <row r="26" spans="1:11" x14ac:dyDescent="0.3">
      <c r="A26" s="6">
        <f t="shared" si="2"/>
        <v>46224</v>
      </c>
      <c r="B26" s="349">
        <v>0</v>
      </c>
      <c r="C26" s="35"/>
      <c r="D26" s="584"/>
      <c r="E26" s="5">
        <f t="shared" si="0"/>
        <v>0</v>
      </c>
      <c r="G26" s="15">
        <v>5.0000000000000001E-3</v>
      </c>
      <c r="H26" s="336">
        <v>0.11899999999999999</v>
      </c>
      <c r="I26" s="16">
        <f t="shared" si="3"/>
        <v>0.124</v>
      </c>
      <c r="J26" s="17">
        <f t="shared" si="1"/>
        <v>0</v>
      </c>
      <c r="K26" s="243">
        <f t="shared" si="4"/>
        <v>0</v>
      </c>
    </row>
    <row r="27" spans="1:11" s="350" customFormat="1" x14ac:dyDescent="0.3">
      <c r="A27" s="315">
        <f t="shared" si="2"/>
        <v>46225</v>
      </c>
      <c r="B27" s="349">
        <v>0</v>
      </c>
      <c r="C27" s="414"/>
      <c r="D27" s="584"/>
      <c r="E27" s="381">
        <f t="shared" si="0"/>
        <v>0</v>
      </c>
      <c r="F27" s="331"/>
      <c r="G27" s="382">
        <v>5.0000000000000001E-3</v>
      </c>
      <c r="H27" s="336">
        <v>0.11899999999999999</v>
      </c>
      <c r="I27" s="383">
        <f t="shared" si="3"/>
        <v>0.124</v>
      </c>
      <c r="J27" s="385">
        <f t="shared" si="1"/>
        <v>0</v>
      </c>
      <c r="K27" s="703">
        <f t="shared" si="4"/>
        <v>0</v>
      </c>
    </row>
    <row r="28" spans="1:11" s="350" customFormat="1" x14ac:dyDescent="0.3">
      <c r="A28" s="315">
        <f t="shared" si="2"/>
        <v>46226</v>
      </c>
      <c r="B28" s="349">
        <v>0</v>
      </c>
      <c r="C28" s="414"/>
      <c r="D28" s="584"/>
      <c r="E28" s="381">
        <f t="shared" si="0"/>
        <v>0</v>
      </c>
      <c r="F28" s="331"/>
      <c r="G28" s="382">
        <v>5.0000000000000001E-3</v>
      </c>
      <c r="H28" s="336">
        <v>0.11899999999999999</v>
      </c>
      <c r="I28" s="383">
        <f t="shared" si="3"/>
        <v>0.124</v>
      </c>
      <c r="J28" s="385">
        <f t="shared" si="1"/>
        <v>0</v>
      </c>
      <c r="K28" s="703">
        <f t="shared" si="4"/>
        <v>0</v>
      </c>
    </row>
    <row r="29" spans="1:11" x14ac:dyDescent="0.3">
      <c r="A29" s="6">
        <f t="shared" si="2"/>
        <v>46227</v>
      </c>
      <c r="B29" s="349">
        <v>0</v>
      </c>
      <c r="C29" s="35"/>
      <c r="D29" s="584"/>
      <c r="E29" s="5">
        <f t="shared" si="0"/>
        <v>0</v>
      </c>
      <c r="G29" s="15">
        <v>5.0000000000000001E-3</v>
      </c>
      <c r="H29" s="336">
        <v>0.11899999999999999</v>
      </c>
      <c r="I29" s="16">
        <f t="shared" si="3"/>
        <v>0.124</v>
      </c>
      <c r="J29" s="17">
        <f t="shared" si="1"/>
        <v>0</v>
      </c>
      <c r="K29" s="243">
        <f t="shared" si="4"/>
        <v>0</v>
      </c>
    </row>
    <row r="30" spans="1:11" x14ac:dyDescent="0.3">
      <c r="A30" s="791">
        <f t="shared" si="2"/>
        <v>46228</v>
      </c>
      <c r="B30" s="349">
        <v>0</v>
      </c>
      <c r="C30" s="792"/>
      <c r="D30" s="793"/>
      <c r="E30" s="585">
        <f t="shared" si="0"/>
        <v>0</v>
      </c>
      <c r="G30" s="15">
        <v>5.0000000000000001E-3</v>
      </c>
      <c r="H30" s="336">
        <v>0.11899999999999999</v>
      </c>
      <c r="I30" s="16">
        <f t="shared" si="3"/>
        <v>0.124</v>
      </c>
      <c r="J30" s="17">
        <f t="shared" si="1"/>
        <v>0</v>
      </c>
      <c r="K30" s="243">
        <f t="shared" si="4"/>
        <v>0</v>
      </c>
    </row>
    <row r="31" spans="1:11" s="350" customFormat="1" x14ac:dyDescent="0.3">
      <c r="A31" s="796">
        <f t="shared" si="2"/>
        <v>46229</v>
      </c>
      <c r="B31" s="349">
        <v>0</v>
      </c>
      <c r="C31" s="330"/>
      <c r="D31" s="554"/>
      <c r="E31" s="330">
        <f t="shared" si="0"/>
        <v>0</v>
      </c>
      <c r="F31" s="331"/>
      <c r="G31" s="382">
        <v>5.0000000000000001E-3</v>
      </c>
      <c r="H31" s="336">
        <v>0.11899999999999999</v>
      </c>
      <c r="I31" s="383">
        <f t="shared" si="3"/>
        <v>0.124</v>
      </c>
      <c r="J31" s="385">
        <f t="shared" si="1"/>
        <v>0</v>
      </c>
      <c r="K31" s="703">
        <f t="shared" si="4"/>
        <v>0</v>
      </c>
    </row>
    <row r="32" spans="1:11" s="350" customFormat="1" x14ac:dyDescent="0.3">
      <c r="A32" s="796">
        <f t="shared" si="2"/>
        <v>46230</v>
      </c>
      <c r="B32" s="349">
        <v>0</v>
      </c>
      <c r="C32" s="330"/>
      <c r="D32" s="554"/>
      <c r="E32" s="330">
        <f>SUM(B32:D32)</f>
        <v>0</v>
      </c>
      <c r="F32" s="331"/>
      <c r="G32" s="382">
        <v>5.0000000000000001E-3</v>
      </c>
      <c r="H32" s="336">
        <v>0.11899999999999999</v>
      </c>
      <c r="I32" s="383">
        <f>+H32+G32</f>
        <v>0.124</v>
      </c>
      <c r="J32" s="385">
        <f>IF(E32&lt;0,0,E32*I32/365)</f>
        <v>0</v>
      </c>
      <c r="K32" s="703">
        <f>E32-E31</f>
        <v>0</v>
      </c>
    </row>
    <row r="33" spans="1:12" s="350" customFormat="1" x14ac:dyDescent="0.3">
      <c r="A33" s="796">
        <f t="shared" si="2"/>
        <v>46231</v>
      </c>
      <c r="B33" s="349">
        <v>0</v>
      </c>
      <c r="C33" s="330"/>
      <c r="D33" s="554"/>
      <c r="E33" s="330">
        <f>SUM(B33:D33)</f>
        <v>0</v>
      </c>
      <c r="F33" s="331"/>
      <c r="G33" s="382">
        <v>5.0000000000000001E-3</v>
      </c>
      <c r="H33" s="336">
        <v>0.11899999999999999</v>
      </c>
      <c r="I33" s="383">
        <f>+H33+G33</f>
        <v>0.124</v>
      </c>
      <c r="J33" s="385">
        <f>IF(E33&lt;0,0,E33*I33/365)</f>
        <v>0</v>
      </c>
      <c r="K33" s="703">
        <f>E33-E32</f>
        <v>0</v>
      </c>
    </row>
    <row r="34" spans="1:12" s="350" customFormat="1" x14ac:dyDescent="0.3">
      <c r="A34" s="796">
        <f t="shared" si="2"/>
        <v>46232</v>
      </c>
      <c r="B34" s="349">
        <v>0</v>
      </c>
      <c r="C34" s="330"/>
      <c r="D34" s="554"/>
      <c r="E34" s="330">
        <f>SUM(B34:D34)</f>
        <v>0</v>
      </c>
      <c r="F34" s="331"/>
      <c r="G34" s="382">
        <v>5.0000000000000001E-3</v>
      </c>
      <c r="H34" s="336">
        <v>0.11899999999999999</v>
      </c>
      <c r="I34" s="383">
        <f>+H34+G34</f>
        <v>0.124</v>
      </c>
      <c r="J34" s="385">
        <f>IF(E34&lt;0,0,E34*I34/365)</f>
        <v>0</v>
      </c>
      <c r="K34" s="703">
        <f>E34-E33</f>
        <v>0</v>
      </c>
    </row>
    <row r="35" spans="1:12" s="350" customFormat="1" x14ac:dyDescent="0.3">
      <c r="A35" s="796">
        <f t="shared" si="2"/>
        <v>46233</v>
      </c>
      <c r="B35" s="349">
        <v>0</v>
      </c>
      <c r="C35" s="330"/>
      <c r="D35" s="554"/>
      <c r="E35" s="330">
        <f>SUM(B35:D35)</f>
        <v>0</v>
      </c>
      <c r="F35" s="331"/>
      <c r="G35" s="382">
        <v>5.0000000000000001E-3</v>
      </c>
      <c r="H35" s="336">
        <v>0.11899999999999999</v>
      </c>
      <c r="I35" s="383">
        <f>+H35+G35</f>
        <v>0.124</v>
      </c>
      <c r="J35" s="385">
        <f>IF(E35&lt;0,0,E35*I35/365)</f>
        <v>0</v>
      </c>
      <c r="K35" s="703">
        <f>E35-E34</f>
        <v>0</v>
      </c>
    </row>
    <row r="36" spans="1:12" s="350" customFormat="1" x14ac:dyDescent="0.3">
      <c r="A36" s="796">
        <f t="shared" si="2"/>
        <v>46234</v>
      </c>
      <c r="B36" s="349">
        <v>0</v>
      </c>
      <c r="C36" s="330"/>
      <c r="D36" s="554"/>
      <c r="E36" s="330">
        <f>SUM(B36:D36)</f>
        <v>0</v>
      </c>
      <c r="F36" s="331"/>
      <c r="G36" s="382">
        <v>5.0000000000000001E-3</v>
      </c>
      <c r="H36" s="336">
        <v>0.11899999999999999</v>
      </c>
      <c r="I36" s="383">
        <f>+H36+G36</f>
        <v>0.124</v>
      </c>
      <c r="J36" s="385">
        <f>IF(E36&lt;0,0,E36*I36/365)</f>
        <v>0</v>
      </c>
      <c r="K36" s="703">
        <f>E36-E35</f>
        <v>0</v>
      </c>
    </row>
    <row r="37" spans="1:12" x14ac:dyDescent="0.3">
      <c r="B37" s="349">
        <v>6694845.6500000004</v>
      </c>
      <c r="C37" s="492"/>
      <c r="D37" s="794"/>
      <c r="E37" s="492"/>
      <c r="G37" s="1001" t="s">
        <v>14</v>
      </c>
      <c r="H37" s="1002"/>
      <c r="I37" s="20"/>
      <c r="J37" s="117">
        <f>SUM(J6:J36)</f>
        <v>0</v>
      </c>
    </row>
    <row r="38" spans="1:12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2" x14ac:dyDescent="0.3">
      <c r="G39" s="965" t="s">
        <v>22</v>
      </c>
      <c r="H39" s="965"/>
      <c r="I39" s="965"/>
      <c r="K39" s="722"/>
    </row>
    <row r="40" spans="1:12" x14ac:dyDescent="0.3">
      <c r="G40" s="966"/>
      <c r="H40" s="966"/>
      <c r="I40" s="966"/>
      <c r="J40" s="22" t="s">
        <v>0</v>
      </c>
    </row>
    <row r="41" spans="1:12" x14ac:dyDescent="0.3">
      <c r="A41" s="343" t="s">
        <v>261</v>
      </c>
      <c r="B41" s="344" t="s">
        <v>69</v>
      </c>
      <c r="G41" s="968" t="s">
        <v>15</v>
      </c>
      <c r="H41" s="968"/>
      <c r="I41" s="968"/>
      <c r="J41" s="220">
        <v>584822.99635941093</v>
      </c>
      <c r="K41" s="299"/>
    </row>
    <row r="42" spans="1:12" ht="17.399999999999999" x14ac:dyDescent="0.3">
      <c r="G42" s="968" t="s">
        <v>28</v>
      </c>
      <c r="H42" s="968"/>
      <c r="I42" s="982"/>
      <c r="J42" s="805"/>
      <c r="K42" s="748"/>
      <c r="L42" s="708"/>
    </row>
    <row r="43" spans="1:12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233">
        <f>IF(J42=0,0,J42-J41)</f>
        <v>0</v>
      </c>
    </row>
    <row r="44" spans="1:12" x14ac:dyDescent="0.3">
      <c r="G44" s="966"/>
      <c r="H44" s="966"/>
      <c r="I44" s="966"/>
      <c r="J44" s="966"/>
    </row>
    <row r="45" spans="1:12" ht="16.2" thickBot="1" x14ac:dyDescent="0.35">
      <c r="G45" s="1003" t="s">
        <v>199</v>
      </c>
      <c r="H45" s="1003"/>
      <c r="I45" s="1003"/>
      <c r="J45" s="217">
        <f>J37+J43</f>
        <v>0</v>
      </c>
      <c r="K45" s="360"/>
    </row>
    <row r="46" spans="1:12" x14ac:dyDescent="0.3">
      <c r="G46" s="966"/>
      <c r="H46" s="966"/>
      <c r="I46" s="966"/>
      <c r="J46" s="966"/>
    </row>
    <row r="47" spans="1:12" x14ac:dyDescent="0.3">
      <c r="G47" s="991" t="s">
        <v>31</v>
      </c>
      <c r="H47" s="991"/>
      <c r="I47" s="991"/>
      <c r="J47" s="220">
        <f>J41+J45-J42</f>
        <v>584822.99635941093</v>
      </c>
      <c r="K47" s="723"/>
    </row>
    <row r="48" spans="1:12" x14ac:dyDescent="0.3">
      <c r="J48" s="2"/>
      <c r="K48" s="723"/>
    </row>
    <row r="49" spans="10:11" x14ac:dyDescent="0.3">
      <c r="J49" s="34"/>
      <c r="K49" s="360"/>
    </row>
    <row r="50" spans="10:11" x14ac:dyDescent="0.3">
      <c r="J50" s="34"/>
    </row>
  </sheetData>
  <autoFilter ref="K1:K50" xr:uid="{FFF4DA74-2E50-4472-B84C-FFA7631342F0}"/>
  <mergeCells count="21">
    <mergeCell ref="A1:J1"/>
    <mergeCell ref="A2:I2"/>
    <mergeCell ref="A3:J3"/>
    <mergeCell ref="A38:J38"/>
    <mergeCell ref="J4:J5"/>
    <mergeCell ref="E4:E5"/>
    <mergeCell ref="A4:A5"/>
    <mergeCell ref="B4:B5"/>
    <mergeCell ref="G4:G5"/>
    <mergeCell ref="I4:I5"/>
    <mergeCell ref="G47:I47"/>
    <mergeCell ref="G42:I42"/>
    <mergeCell ref="G44:J44"/>
    <mergeCell ref="H4:H5"/>
    <mergeCell ref="G37:H37"/>
    <mergeCell ref="G40:I40"/>
    <mergeCell ref="G46:J46"/>
    <mergeCell ref="G43:I43"/>
    <mergeCell ref="G41:I41"/>
    <mergeCell ref="G45:I45"/>
    <mergeCell ref="G39:I39"/>
  </mergeCells>
  <pageMargins left="0.7" right="0.7" top="0.75" bottom="0.75" header="0.3" footer="0.3"/>
  <pageSetup scale="57" orientation="portrait" r:id="rId1"/>
  <ignoredErrors>
    <ignoredError sqref="E6:E31" formulaRange="1"/>
  </ignoredError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2E4B-00B7-4E9C-B729-3516C9C7125C}">
  <sheetPr>
    <tabColor theme="0"/>
    <pageSetUpPr fitToPage="1"/>
  </sheetPr>
  <dimension ref="A1:N113"/>
  <sheetViews>
    <sheetView view="pageBreakPreview" topLeftCell="A72" zoomScaleNormal="55" zoomScaleSheetLayoutView="110" workbookViewId="0">
      <selection activeCell="B76" sqref="B76:J76"/>
    </sheetView>
  </sheetViews>
  <sheetFormatPr defaultRowHeight="15.6" x14ac:dyDescent="0.3"/>
  <cols>
    <col min="1" max="1" width="15.90625" style="3" customWidth="1"/>
    <col min="2" max="10" width="12" style="331" customWidth="1"/>
    <col min="11" max="11" width="11.6328125" style="3" customWidth="1"/>
    <col min="12" max="12" width="13.81640625" bestFit="1" customWidth="1"/>
    <col min="13" max="13" width="9.1796875" bestFit="1" customWidth="1"/>
    <col min="14" max="14" width="9.54296875" bestFit="1" customWidth="1"/>
  </cols>
  <sheetData>
    <row r="1" spans="1:14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</row>
    <row r="2" spans="1:14" ht="18.600000000000001" thickBot="1" x14ac:dyDescent="0.4">
      <c r="A2" s="47" t="s">
        <v>157</v>
      </c>
      <c r="B2" s="401"/>
      <c r="C2" s="401"/>
      <c r="D2" s="401"/>
      <c r="E2" s="401"/>
      <c r="F2" s="401"/>
      <c r="G2" s="401"/>
      <c r="H2" s="401"/>
      <c r="I2" s="401"/>
      <c r="J2" s="401"/>
      <c r="K2" s="27">
        <f>'FINANCIAL COST SUMMARY'!K2</f>
        <v>46204</v>
      </c>
    </row>
    <row r="3" spans="1:14" x14ac:dyDescent="0.3">
      <c r="A3" s="942"/>
      <c r="B3" s="942"/>
      <c r="C3" s="942"/>
      <c r="D3" s="942"/>
      <c r="E3" s="942"/>
      <c r="F3" s="942"/>
      <c r="G3" s="942"/>
      <c r="H3" s="942"/>
      <c r="I3" s="942"/>
      <c r="J3" s="942"/>
      <c r="K3" s="942"/>
    </row>
    <row r="4" spans="1:14" x14ac:dyDescent="0.3">
      <c r="A4" s="943" t="s">
        <v>19</v>
      </c>
      <c r="B4" s="943"/>
      <c r="C4" s="943"/>
      <c r="D4" s="943"/>
      <c r="E4" s="943"/>
      <c r="F4" s="943"/>
      <c r="G4" s="943"/>
      <c r="H4" s="943"/>
      <c r="I4" s="943"/>
      <c r="J4" s="943"/>
      <c r="K4" s="943"/>
    </row>
    <row r="5" spans="1:14" s="74" customFormat="1" ht="65.400000000000006" customHeight="1" x14ac:dyDescent="0.25">
      <c r="A5" s="51" t="s">
        <v>2</v>
      </c>
      <c r="B5" s="73" t="s">
        <v>374</v>
      </c>
      <c r="C5" s="73" t="s">
        <v>379</v>
      </c>
      <c r="D5" s="73" t="s">
        <v>380</v>
      </c>
      <c r="E5" s="73" t="s">
        <v>382</v>
      </c>
      <c r="F5" s="73" t="s">
        <v>388</v>
      </c>
      <c r="G5" s="73" t="s">
        <v>389</v>
      </c>
      <c r="H5" s="73" t="s">
        <v>399</v>
      </c>
      <c r="I5" s="73" t="s">
        <v>417</v>
      </c>
      <c r="J5" s="73" t="s">
        <v>418</v>
      </c>
      <c r="K5" s="73" t="s">
        <v>0</v>
      </c>
    </row>
    <row r="6" spans="1:14" x14ac:dyDescent="0.3">
      <c r="A6" s="6">
        <v>46204</v>
      </c>
      <c r="B6" s="359">
        <f t="shared" ref="B6:B17" si="0">23865*281</f>
        <v>6706065</v>
      </c>
      <c r="C6" s="359">
        <f>118000*280.95</f>
        <v>33152100</v>
      </c>
      <c r="D6" s="359">
        <f>123050*280.95</f>
        <v>34570897.5</v>
      </c>
      <c r="E6" s="359">
        <f>(17978.4+17758.8+18370.8+17910+18115.2)*281.1</f>
        <v>25336442.52</v>
      </c>
      <c r="F6" s="359">
        <f t="shared" ref="F6:F12" si="1">191520*280.5</f>
        <v>53721360</v>
      </c>
      <c r="G6" s="359">
        <f t="shared" ref="G6:G19" si="2">26000*280.5</f>
        <v>7293000</v>
      </c>
      <c r="H6" s="359">
        <f t="shared" ref="H6:H11" si="3">38102.4*281.1</f>
        <v>10710584.640000001</v>
      </c>
      <c r="I6" s="359">
        <f t="shared" ref="I6:I27" si="4">32353.2*280</f>
        <v>9058896</v>
      </c>
      <c r="J6" s="359">
        <f t="shared" ref="J6:J27" si="5">99567.6*280</f>
        <v>27878928</v>
      </c>
      <c r="K6" s="59">
        <f t="shared" ref="K6:K36" si="6">SUM(B6:J6)</f>
        <v>208428273.65999997</v>
      </c>
      <c r="L6" s="104">
        <v>46196</v>
      </c>
      <c r="M6" s="105">
        <v>180</v>
      </c>
      <c r="N6" s="104">
        <f>L6+M6</f>
        <v>46376</v>
      </c>
    </row>
    <row r="7" spans="1:14" x14ac:dyDescent="0.3">
      <c r="A7" s="6">
        <f>+A6+1</f>
        <v>46205</v>
      </c>
      <c r="B7" s="359">
        <f t="shared" si="0"/>
        <v>6706065</v>
      </c>
      <c r="C7" s="359">
        <f>118000*280.95</f>
        <v>33152100</v>
      </c>
      <c r="D7" s="359">
        <f>123050*280.95</f>
        <v>34570897.5</v>
      </c>
      <c r="E7" s="359">
        <f>(17978.4+17758.8+18370.8+17910+18115.2)*281.1</f>
        <v>25336442.52</v>
      </c>
      <c r="F7" s="359">
        <f t="shared" si="1"/>
        <v>53721360</v>
      </c>
      <c r="G7" s="359">
        <f t="shared" si="2"/>
        <v>7293000</v>
      </c>
      <c r="H7" s="359">
        <f t="shared" si="3"/>
        <v>10710584.640000001</v>
      </c>
      <c r="I7" s="359">
        <f t="shared" si="4"/>
        <v>9058896</v>
      </c>
      <c r="J7" s="359">
        <f t="shared" si="5"/>
        <v>27878928</v>
      </c>
      <c r="K7" s="59">
        <f t="shared" si="6"/>
        <v>208428273.65999997</v>
      </c>
    </row>
    <row r="8" spans="1:14" x14ac:dyDescent="0.3">
      <c r="A8" s="6">
        <f t="shared" ref="A8:A36" si="7">+A7+1</f>
        <v>46206</v>
      </c>
      <c r="B8" s="359">
        <f t="shared" si="0"/>
        <v>6706065</v>
      </c>
      <c r="C8" s="359">
        <f t="shared" ref="C8:C36" si="8">118000*280.95</f>
        <v>33152100</v>
      </c>
      <c r="D8" s="359">
        <f t="shared" ref="D8:D36" si="9">123050*280.95</f>
        <v>34570897.5</v>
      </c>
      <c r="E8" s="359">
        <f>(17978.4+17758.8+18370.8+17910+18115.2)*281.1</f>
        <v>25336442.52</v>
      </c>
      <c r="F8" s="359">
        <f t="shared" si="1"/>
        <v>53721360</v>
      </c>
      <c r="G8" s="359">
        <f t="shared" si="2"/>
        <v>7293000</v>
      </c>
      <c r="H8" s="359">
        <f t="shared" si="3"/>
        <v>10710584.640000001</v>
      </c>
      <c r="I8" s="359">
        <f t="shared" si="4"/>
        <v>9058896</v>
      </c>
      <c r="J8" s="359">
        <f t="shared" si="5"/>
        <v>27878928</v>
      </c>
      <c r="K8" s="59">
        <f t="shared" si="6"/>
        <v>208428273.65999997</v>
      </c>
    </row>
    <row r="9" spans="1:14" ht="16.2" customHeight="1" x14ac:dyDescent="0.3">
      <c r="A9" s="6">
        <f t="shared" si="7"/>
        <v>46207</v>
      </c>
      <c r="B9" s="359">
        <f t="shared" si="0"/>
        <v>6706065</v>
      </c>
      <c r="C9" s="359">
        <f t="shared" si="8"/>
        <v>33152100</v>
      </c>
      <c r="D9" s="359">
        <f t="shared" si="9"/>
        <v>34570897.5</v>
      </c>
      <c r="E9" s="359">
        <f>(17978.4+17758.8+18370.8+17910+18115.2)*281.1</f>
        <v>25336442.52</v>
      </c>
      <c r="F9" s="359">
        <f t="shared" si="1"/>
        <v>53721360</v>
      </c>
      <c r="G9" s="359">
        <f t="shared" si="2"/>
        <v>7293000</v>
      </c>
      <c r="H9" s="359">
        <f t="shared" si="3"/>
        <v>10710584.640000001</v>
      </c>
      <c r="I9" s="359">
        <f t="shared" si="4"/>
        <v>9058896</v>
      </c>
      <c r="J9" s="359">
        <f t="shared" si="5"/>
        <v>27878928</v>
      </c>
      <c r="K9" s="59">
        <f t="shared" si="6"/>
        <v>208428273.65999997</v>
      </c>
    </row>
    <row r="10" spans="1:14" x14ac:dyDescent="0.3">
      <c r="A10" s="6">
        <f t="shared" si="7"/>
        <v>46208</v>
      </c>
      <c r="B10" s="359">
        <f t="shared" si="0"/>
        <v>6706065</v>
      </c>
      <c r="C10" s="359">
        <f t="shared" si="8"/>
        <v>33152100</v>
      </c>
      <c r="D10" s="359">
        <f t="shared" si="9"/>
        <v>34570897.5</v>
      </c>
      <c r="E10" s="359">
        <f t="shared" ref="E10:E36" si="10">(17978.4+17758.8+18370.8+17910+18115.2)*281.1</f>
        <v>25336442.52</v>
      </c>
      <c r="F10" s="359">
        <f t="shared" si="1"/>
        <v>53721360</v>
      </c>
      <c r="G10" s="359">
        <f t="shared" si="2"/>
        <v>7293000</v>
      </c>
      <c r="H10" s="359">
        <f t="shared" si="3"/>
        <v>10710584.640000001</v>
      </c>
      <c r="I10" s="359">
        <f t="shared" si="4"/>
        <v>9058896</v>
      </c>
      <c r="J10" s="359">
        <f t="shared" si="5"/>
        <v>27878928</v>
      </c>
      <c r="K10" s="59">
        <f t="shared" si="6"/>
        <v>208428273.65999997</v>
      </c>
    </row>
    <row r="11" spans="1:14" x14ac:dyDescent="0.3">
      <c r="A11" s="6">
        <f t="shared" si="7"/>
        <v>46209</v>
      </c>
      <c r="B11" s="359">
        <f t="shared" si="0"/>
        <v>6706065</v>
      </c>
      <c r="C11" s="359">
        <f t="shared" si="8"/>
        <v>33152100</v>
      </c>
      <c r="D11" s="359">
        <f t="shared" si="9"/>
        <v>34570897.5</v>
      </c>
      <c r="E11" s="359">
        <f t="shared" si="10"/>
        <v>25336442.52</v>
      </c>
      <c r="F11" s="359">
        <f t="shared" si="1"/>
        <v>53721360</v>
      </c>
      <c r="G11" s="359">
        <f t="shared" si="2"/>
        <v>7293000</v>
      </c>
      <c r="H11" s="359">
        <f t="shared" si="3"/>
        <v>10710584.640000001</v>
      </c>
      <c r="I11" s="359">
        <f t="shared" si="4"/>
        <v>9058896</v>
      </c>
      <c r="J11" s="359">
        <f t="shared" si="5"/>
        <v>27878928</v>
      </c>
      <c r="K11" s="59">
        <f t="shared" si="6"/>
        <v>208428273.65999997</v>
      </c>
    </row>
    <row r="12" spans="1:14" x14ac:dyDescent="0.3">
      <c r="A12" s="6">
        <f t="shared" si="7"/>
        <v>46210</v>
      </c>
      <c r="B12" s="359">
        <f t="shared" si="0"/>
        <v>6706065</v>
      </c>
      <c r="C12" s="359">
        <f t="shared" si="8"/>
        <v>33152100</v>
      </c>
      <c r="D12" s="359">
        <f t="shared" si="9"/>
        <v>34570897.5</v>
      </c>
      <c r="E12" s="359">
        <f t="shared" si="10"/>
        <v>25336442.52</v>
      </c>
      <c r="F12" s="359">
        <f t="shared" si="1"/>
        <v>53721360</v>
      </c>
      <c r="G12" s="359">
        <f t="shared" si="2"/>
        <v>7293000</v>
      </c>
      <c r="H12" s="359">
        <f>38102.4*281.1</f>
        <v>10710584.640000001</v>
      </c>
      <c r="I12" s="359">
        <f t="shared" si="4"/>
        <v>9058896</v>
      </c>
      <c r="J12" s="359">
        <f t="shared" si="5"/>
        <v>27878928</v>
      </c>
      <c r="K12" s="59">
        <f t="shared" si="6"/>
        <v>208428273.65999997</v>
      </c>
    </row>
    <row r="13" spans="1:14" x14ac:dyDescent="0.3">
      <c r="A13" s="6">
        <f t="shared" si="7"/>
        <v>46211</v>
      </c>
      <c r="B13" s="359">
        <f t="shared" si="0"/>
        <v>6706065</v>
      </c>
      <c r="C13" s="359">
        <f t="shared" si="8"/>
        <v>33152100</v>
      </c>
      <c r="D13" s="359">
        <f t="shared" si="9"/>
        <v>34570897.5</v>
      </c>
      <c r="E13" s="359">
        <f t="shared" si="10"/>
        <v>25336442.52</v>
      </c>
      <c r="F13" s="359">
        <f>191520*280.5</f>
        <v>53721360</v>
      </c>
      <c r="G13" s="359">
        <f t="shared" si="2"/>
        <v>7293000</v>
      </c>
      <c r="H13" s="359">
        <f t="shared" ref="H13:H36" si="11">38102.4*281.1</f>
        <v>10710584.640000001</v>
      </c>
      <c r="I13" s="359">
        <f t="shared" si="4"/>
        <v>9058896</v>
      </c>
      <c r="J13" s="359">
        <f t="shared" si="5"/>
        <v>27878928</v>
      </c>
      <c r="K13" s="59">
        <f t="shared" si="6"/>
        <v>208428273.65999997</v>
      </c>
    </row>
    <row r="14" spans="1:14" x14ac:dyDescent="0.3">
      <c r="A14" s="6">
        <f t="shared" si="7"/>
        <v>46212</v>
      </c>
      <c r="B14" s="359">
        <f t="shared" si="0"/>
        <v>6706065</v>
      </c>
      <c r="C14" s="359">
        <f t="shared" si="8"/>
        <v>33152100</v>
      </c>
      <c r="D14" s="359">
        <f t="shared" si="9"/>
        <v>34570897.5</v>
      </c>
      <c r="E14" s="359">
        <f t="shared" si="10"/>
        <v>25336442.52</v>
      </c>
      <c r="F14" s="359">
        <f t="shared" ref="F14:F36" si="12">191520*280.5</f>
        <v>53721360</v>
      </c>
      <c r="G14" s="359">
        <f t="shared" si="2"/>
        <v>7293000</v>
      </c>
      <c r="H14" s="359">
        <f t="shared" si="11"/>
        <v>10710584.640000001</v>
      </c>
      <c r="I14" s="359">
        <f t="shared" si="4"/>
        <v>9058896</v>
      </c>
      <c r="J14" s="359">
        <f t="shared" si="5"/>
        <v>27878928</v>
      </c>
      <c r="K14" s="59">
        <f t="shared" si="6"/>
        <v>208428273.65999997</v>
      </c>
    </row>
    <row r="15" spans="1:14" s="513" customFormat="1" x14ac:dyDescent="0.3">
      <c r="A15" s="315">
        <f t="shared" si="7"/>
        <v>46213</v>
      </c>
      <c r="B15" s="359">
        <f t="shared" si="0"/>
        <v>6706065</v>
      </c>
      <c r="C15" s="359">
        <f t="shared" si="8"/>
        <v>33152100</v>
      </c>
      <c r="D15" s="359">
        <f t="shared" si="9"/>
        <v>34570897.5</v>
      </c>
      <c r="E15" s="359">
        <f t="shared" si="10"/>
        <v>25336442.52</v>
      </c>
      <c r="F15" s="359">
        <f t="shared" si="12"/>
        <v>53721360</v>
      </c>
      <c r="G15" s="359">
        <f t="shared" si="2"/>
        <v>7293000</v>
      </c>
      <c r="H15" s="359">
        <f t="shared" si="11"/>
        <v>10710584.640000001</v>
      </c>
      <c r="I15" s="359">
        <f t="shared" si="4"/>
        <v>9058896</v>
      </c>
      <c r="J15" s="359">
        <f t="shared" si="5"/>
        <v>27878928</v>
      </c>
      <c r="K15" s="59">
        <f t="shared" si="6"/>
        <v>208428273.65999997</v>
      </c>
    </row>
    <row r="16" spans="1:14" x14ac:dyDescent="0.3">
      <c r="A16" s="315">
        <f t="shared" si="7"/>
        <v>46214</v>
      </c>
      <c r="B16" s="359">
        <f t="shared" si="0"/>
        <v>6706065</v>
      </c>
      <c r="C16" s="359">
        <f t="shared" si="8"/>
        <v>33152100</v>
      </c>
      <c r="D16" s="359">
        <f t="shared" si="9"/>
        <v>34570897.5</v>
      </c>
      <c r="E16" s="359">
        <f t="shared" si="10"/>
        <v>25336442.52</v>
      </c>
      <c r="F16" s="359">
        <f t="shared" si="12"/>
        <v>53721360</v>
      </c>
      <c r="G16" s="359">
        <f t="shared" si="2"/>
        <v>7293000</v>
      </c>
      <c r="H16" s="359">
        <f t="shared" si="11"/>
        <v>10710584.640000001</v>
      </c>
      <c r="I16" s="359">
        <f t="shared" si="4"/>
        <v>9058896</v>
      </c>
      <c r="J16" s="359">
        <f t="shared" si="5"/>
        <v>27878928</v>
      </c>
      <c r="K16" s="59">
        <f t="shared" si="6"/>
        <v>208428273.65999997</v>
      </c>
      <c r="L16" s="55"/>
    </row>
    <row r="17" spans="1:13" x14ac:dyDescent="0.3">
      <c r="A17" s="315">
        <f t="shared" si="7"/>
        <v>46215</v>
      </c>
      <c r="B17" s="359">
        <f t="shared" si="0"/>
        <v>6706065</v>
      </c>
      <c r="C17" s="359">
        <f t="shared" si="8"/>
        <v>33152100</v>
      </c>
      <c r="D17" s="359">
        <f t="shared" si="9"/>
        <v>34570897.5</v>
      </c>
      <c r="E17" s="359">
        <f t="shared" si="10"/>
        <v>25336442.52</v>
      </c>
      <c r="F17" s="359">
        <f t="shared" si="12"/>
        <v>53721360</v>
      </c>
      <c r="G17" s="359">
        <f t="shared" si="2"/>
        <v>7293000</v>
      </c>
      <c r="H17" s="359">
        <f t="shared" si="11"/>
        <v>10710584.640000001</v>
      </c>
      <c r="I17" s="359">
        <f t="shared" si="4"/>
        <v>9058896</v>
      </c>
      <c r="J17" s="359">
        <f t="shared" si="5"/>
        <v>27878928</v>
      </c>
      <c r="K17" s="59">
        <f t="shared" si="6"/>
        <v>208428273.65999997</v>
      </c>
    </row>
    <row r="18" spans="1:13" x14ac:dyDescent="0.3">
      <c r="A18" s="315">
        <f t="shared" si="7"/>
        <v>46216</v>
      </c>
      <c r="B18" s="359">
        <f>23865*281</f>
        <v>6706065</v>
      </c>
      <c r="C18" s="359">
        <f t="shared" si="8"/>
        <v>33152100</v>
      </c>
      <c r="D18" s="359">
        <f t="shared" si="9"/>
        <v>34570897.5</v>
      </c>
      <c r="E18" s="359">
        <f t="shared" si="10"/>
        <v>25336442.52</v>
      </c>
      <c r="F18" s="359">
        <f t="shared" si="12"/>
        <v>53721360</v>
      </c>
      <c r="G18" s="359">
        <f t="shared" si="2"/>
        <v>7293000</v>
      </c>
      <c r="H18" s="359">
        <f t="shared" si="11"/>
        <v>10710584.640000001</v>
      </c>
      <c r="I18" s="359">
        <f t="shared" si="4"/>
        <v>9058896</v>
      </c>
      <c r="J18" s="359">
        <f t="shared" si="5"/>
        <v>27878928</v>
      </c>
      <c r="K18" s="59">
        <f t="shared" si="6"/>
        <v>208428273.65999997</v>
      </c>
    </row>
    <row r="19" spans="1:13" x14ac:dyDescent="0.3">
      <c r="A19" s="315">
        <f t="shared" si="7"/>
        <v>46217</v>
      </c>
      <c r="B19" s="359">
        <f t="shared" ref="B19:B36" si="13">23865*281</f>
        <v>6706065</v>
      </c>
      <c r="C19" s="359">
        <f t="shared" si="8"/>
        <v>33152100</v>
      </c>
      <c r="D19" s="359">
        <f t="shared" si="9"/>
        <v>34570897.5</v>
      </c>
      <c r="E19" s="359">
        <f t="shared" si="10"/>
        <v>25336442.52</v>
      </c>
      <c r="F19" s="359">
        <f t="shared" si="12"/>
        <v>53721360</v>
      </c>
      <c r="G19" s="359">
        <f t="shared" si="2"/>
        <v>7293000</v>
      </c>
      <c r="H19" s="359">
        <f t="shared" si="11"/>
        <v>10710584.640000001</v>
      </c>
      <c r="I19" s="359">
        <f t="shared" si="4"/>
        <v>9058896</v>
      </c>
      <c r="J19" s="359">
        <f t="shared" si="5"/>
        <v>27878928</v>
      </c>
      <c r="K19" s="59">
        <f t="shared" si="6"/>
        <v>208428273.65999997</v>
      </c>
    </row>
    <row r="20" spans="1:13" x14ac:dyDescent="0.3">
      <c r="A20" s="315">
        <f t="shared" si="7"/>
        <v>46218</v>
      </c>
      <c r="B20" s="359">
        <f t="shared" si="13"/>
        <v>6706065</v>
      </c>
      <c r="C20" s="359">
        <f t="shared" si="8"/>
        <v>33152100</v>
      </c>
      <c r="D20" s="359">
        <f t="shared" si="9"/>
        <v>34570897.5</v>
      </c>
      <c r="E20" s="359">
        <f t="shared" si="10"/>
        <v>25336442.52</v>
      </c>
      <c r="F20" s="359">
        <f t="shared" si="12"/>
        <v>53721360</v>
      </c>
      <c r="G20" s="359">
        <f>26000*280.5</f>
        <v>7293000</v>
      </c>
      <c r="H20" s="359">
        <f t="shared" si="11"/>
        <v>10710584.640000001</v>
      </c>
      <c r="I20" s="359">
        <f t="shared" si="4"/>
        <v>9058896</v>
      </c>
      <c r="J20" s="359">
        <f t="shared" si="5"/>
        <v>27878928</v>
      </c>
      <c r="K20" s="59">
        <f t="shared" si="6"/>
        <v>208428273.65999997</v>
      </c>
    </row>
    <row r="21" spans="1:13" x14ac:dyDescent="0.3">
      <c r="A21" s="315">
        <f t="shared" si="7"/>
        <v>46219</v>
      </c>
      <c r="B21" s="359">
        <f t="shared" si="13"/>
        <v>6706065</v>
      </c>
      <c r="C21" s="359">
        <f t="shared" si="8"/>
        <v>33152100</v>
      </c>
      <c r="D21" s="359">
        <f t="shared" si="9"/>
        <v>34570897.5</v>
      </c>
      <c r="E21" s="359">
        <f t="shared" si="10"/>
        <v>25336442.52</v>
      </c>
      <c r="F21" s="359">
        <f t="shared" si="12"/>
        <v>53721360</v>
      </c>
      <c r="G21" s="359">
        <f t="shared" ref="G21:G36" si="14">26000*280.5</f>
        <v>7293000</v>
      </c>
      <c r="H21" s="359">
        <f t="shared" si="11"/>
        <v>10710584.640000001</v>
      </c>
      <c r="I21" s="359">
        <f t="shared" si="4"/>
        <v>9058896</v>
      </c>
      <c r="J21" s="359">
        <f t="shared" si="5"/>
        <v>27878928</v>
      </c>
      <c r="K21" s="59">
        <f t="shared" si="6"/>
        <v>208428273.65999997</v>
      </c>
    </row>
    <row r="22" spans="1:13" s="350" customFormat="1" x14ac:dyDescent="0.3">
      <c r="A22" s="315">
        <f t="shared" si="7"/>
        <v>46220</v>
      </c>
      <c r="B22" s="359">
        <f t="shared" si="13"/>
        <v>6706065</v>
      </c>
      <c r="C22" s="359">
        <f t="shared" si="8"/>
        <v>33152100</v>
      </c>
      <c r="D22" s="359">
        <f t="shared" si="9"/>
        <v>34570897.5</v>
      </c>
      <c r="E22" s="359">
        <f t="shared" si="10"/>
        <v>25336442.52</v>
      </c>
      <c r="F22" s="359">
        <f t="shared" si="12"/>
        <v>53721360</v>
      </c>
      <c r="G22" s="359">
        <f t="shared" si="14"/>
        <v>7293000</v>
      </c>
      <c r="H22" s="359">
        <f t="shared" si="11"/>
        <v>10710584.640000001</v>
      </c>
      <c r="I22" s="359">
        <f t="shared" si="4"/>
        <v>9058896</v>
      </c>
      <c r="J22" s="359">
        <f t="shared" si="5"/>
        <v>27878928</v>
      </c>
      <c r="K22" s="59">
        <f t="shared" si="6"/>
        <v>208428273.65999997</v>
      </c>
    </row>
    <row r="23" spans="1:13" x14ac:dyDescent="0.3">
      <c r="A23" s="315">
        <f t="shared" si="7"/>
        <v>46221</v>
      </c>
      <c r="B23" s="359">
        <f t="shared" si="13"/>
        <v>6706065</v>
      </c>
      <c r="C23" s="359">
        <f t="shared" si="8"/>
        <v>33152100</v>
      </c>
      <c r="D23" s="359">
        <f t="shared" si="9"/>
        <v>34570897.5</v>
      </c>
      <c r="E23" s="359">
        <f t="shared" si="10"/>
        <v>25336442.52</v>
      </c>
      <c r="F23" s="359">
        <f t="shared" si="12"/>
        <v>53721360</v>
      </c>
      <c r="G23" s="359">
        <f t="shared" si="14"/>
        <v>7293000</v>
      </c>
      <c r="H23" s="359">
        <f t="shared" si="11"/>
        <v>10710584.640000001</v>
      </c>
      <c r="I23" s="359">
        <f t="shared" si="4"/>
        <v>9058896</v>
      </c>
      <c r="J23" s="359">
        <f t="shared" si="5"/>
        <v>27878928</v>
      </c>
      <c r="K23" s="59">
        <f t="shared" si="6"/>
        <v>208428273.65999997</v>
      </c>
    </row>
    <row r="24" spans="1:13" ht="15" customHeight="1" x14ac:dyDescent="0.3">
      <c r="A24" s="315">
        <f t="shared" si="7"/>
        <v>46222</v>
      </c>
      <c r="B24" s="359">
        <f t="shared" si="13"/>
        <v>6706065</v>
      </c>
      <c r="C24" s="359">
        <f t="shared" si="8"/>
        <v>33152100</v>
      </c>
      <c r="D24" s="359">
        <f t="shared" si="9"/>
        <v>34570897.5</v>
      </c>
      <c r="E24" s="359">
        <f t="shared" si="10"/>
        <v>25336442.52</v>
      </c>
      <c r="F24" s="359">
        <f t="shared" si="12"/>
        <v>53721360</v>
      </c>
      <c r="G24" s="359">
        <f t="shared" si="14"/>
        <v>7293000</v>
      </c>
      <c r="H24" s="359">
        <f t="shared" si="11"/>
        <v>10710584.640000001</v>
      </c>
      <c r="I24" s="359">
        <f t="shared" si="4"/>
        <v>9058896</v>
      </c>
      <c r="J24" s="359">
        <f t="shared" si="5"/>
        <v>27878928</v>
      </c>
      <c r="K24" s="59">
        <f t="shared" si="6"/>
        <v>208428273.65999997</v>
      </c>
    </row>
    <row r="25" spans="1:13" x14ac:dyDescent="0.3">
      <c r="A25" s="6">
        <f t="shared" si="7"/>
        <v>46223</v>
      </c>
      <c r="B25" s="359">
        <f t="shared" si="13"/>
        <v>6706065</v>
      </c>
      <c r="C25" s="359">
        <f t="shared" si="8"/>
        <v>33152100</v>
      </c>
      <c r="D25" s="359">
        <f t="shared" si="9"/>
        <v>34570897.5</v>
      </c>
      <c r="E25" s="359">
        <f t="shared" si="10"/>
        <v>25336442.52</v>
      </c>
      <c r="F25" s="359">
        <f t="shared" si="12"/>
        <v>53721360</v>
      </c>
      <c r="G25" s="359">
        <f t="shared" si="14"/>
        <v>7293000</v>
      </c>
      <c r="H25" s="359">
        <f t="shared" si="11"/>
        <v>10710584.640000001</v>
      </c>
      <c r="I25" s="359">
        <f t="shared" si="4"/>
        <v>9058896</v>
      </c>
      <c r="J25" s="359">
        <f t="shared" si="5"/>
        <v>27878928</v>
      </c>
      <c r="K25" s="59">
        <f t="shared" si="6"/>
        <v>208428273.65999997</v>
      </c>
    </row>
    <row r="26" spans="1:13" x14ac:dyDescent="0.3">
      <c r="A26" s="6">
        <f t="shared" si="7"/>
        <v>46224</v>
      </c>
      <c r="B26" s="359">
        <f t="shared" si="13"/>
        <v>6706065</v>
      </c>
      <c r="C26" s="359">
        <f t="shared" si="8"/>
        <v>33152100</v>
      </c>
      <c r="D26" s="359">
        <f t="shared" si="9"/>
        <v>34570897.5</v>
      </c>
      <c r="E26" s="359">
        <f t="shared" si="10"/>
        <v>25336442.52</v>
      </c>
      <c r="F26" s="359">
        <f t="shared" si="12"/>
        <v>53721360</v>
      </c>
      <c r="G26" s="359">
        <f t="shared" si="14"/>
        <v>7293000</v>
      </c>
      <c r="H26" s="359">
        <f t="shared" si="11"/>
        <v>10710584.640000001</v>
      </c>
      <c r="I26" s="359">
        <f t="shared" si="4"/>
        <v>9058896</v>
      </c>
      <c r="J26" s="359">
        <f t="shared" si="5"/>
        <v>27878928</v>
      </c>
      <c r="K26" s="59">
        <f t="shared" si="6"/>
        <v>208428273.65999997</v>
      </c>
    </row>
    <row r="27" spans="1:13" x14ac:dyDescent="0.3">
      <c r="A27" s="6">
        <f t="shared" si="7"/>
        <v>46225</v>
      </c>
      <c r="B27" s="359">
        <f t="shared" si="13"/>
        <v>6706065</v>
      </c>
      <c r="C27" s="359">
        <f t="shared" si="8"/>
        <v>33152100</v>
      </c>
      <c r="D27" s="359">
        <f t="shared" si="9"/>
        <v>34570897.5</v>
      </c>
      <c r="E27" s="359">
        <f t="shared" si="10"/>
        <v>25336442.52</v>
      </c>
      <c r="F27" s="359">
        <f t="shared" si="12"/>
        <v>53721360</v>
      </c>
      <c r="G27" s="359">
        <f t="shared" si="14"/>
        <v>7293000</v>
      </c>
      <c r="H27" s="359">
        <f t="shared" si="11"/>
        <v>10710584.640000001</v>
      </c>
      <c r="I27" s="359">
        <f t="shared" si="4"/>
        <v>9058896</v>
      </c>
      <c r="J27" s="359">
        <f t="shared" si="5"/>
        <v>27878928</v>
      </c>
      <c r="K27" s="59">
        <f t="shared" si="6"/>
        <v>208428273.65999997</v>
      </c>
    </row>
    <row r="28" spans="1:13" x14ac:dyDescent="0.3">
      <c r="A28" s="6">
        <f t="shared" si="7"/>
        <v>46226</v>
      </c>
      <c r="B28" s="359">
        <f t="shared" si="13"/>
        <v>6706065</v>
      </c>
      <c r="C28" s="359">
        <f t="shared" si="8"/>
        <v>33152100</v>
      </c>
      <c r="D28" s="359">
        <f t="shared" si="9"/>
        <v>34570897.5</v>
      </c>
      <c r="E28" s="359">
        <f t="shared" si="10"/>
        <v>25336442.52</v>
      </c>
      <c r="F28" s="359">
        <f t="shared" si="12"/>
        <v>53721360</v>
      </c>
      <c r="G28" s="359">
        <f t="shared" si="14"/>
        <v>7293000</v>
      </c>
      <c r="H28" s="359">
        <f t="shared" si="11"/>
        <v>10710584.640000001</v>
      </c>
      <c r="I28" s="359">
        <f>32353.2*280</f>
        <v>9058896</v>
      </c>
      <c r="J28" s="359">
        <f>99567.6*280</f>
        <v>27878928</v>
      </c>
      <c r="K28" s="59">
        <f t="shared" si="6"/>
        <v>208428273.65999997</v>
      </c>
    </row>
    <row r="29" spans="1:13" x14ac:dyDescent="0.3">
      <c r="A29" s="6">
        <f t="shared" si="7"/>
        <v>46227</v>
      </c>
      <c r="B29" s="359">
        <f t="shared" si="13"/>
        <v>6706065</v>
      </c>
      <c r="C29" s="359">
        <f t="shared" si="8"/>
        <v>33152100</v>
      </c>
      <c r="D29" s="359">
        <f t="shared" si="9"/>
        <v>34570897.5</v>
      </c>
      <c r="E29" s="359">
        <f t="shared" si="10"/>
        <v>25336442.52</v>
      </c>
      <c r="F29" s="359">
        <f t="shared" si="12"/>
        <v>53721360</v>
      </c>
      <c r="G29" s="359">
        <f t="shared" si="14"/>
        <v>7293000</v>
      </c>
      <c r="H29" s="359">
        <f t="shared" si="11"/>
        <v>10710584.640000001</v>
      </c>
      <c r="I29" s="359">
        <f t="shared" ref="I29:I36" si="15">32353.2*280</f>
        <v>9058896</v>
      </c>
      <c r="J29" s="359">
        <f t="shared" ref="J29:J36" si="16">99567.6*280</f>
        <v>27878928</v>
      </c>
      <c r="K29" s="59">
        <f t="shared" si="6"/>
        <v>208428273.65999997</v>
      </c>
      <c r="L29" s="71"/>
      <c r="M29" s="71"/>
    </row>
    <row r="30" spans="1:13" x14ac:dyDescent="0.3">
      <c r="A30" s="6">
        <f t="shared" si="7"/>
        <v>46228</v>
      </c>
      <c r="B30" s="359">
        <f t="shared" si="13"/>
        <v>6706065</v>
      </c>
      <c r="C30" s="359">
        <f t="shared" si="8"/>
        <v>33152100</v>
      </c>
      <c r="D30" s="359">
        <f t="shared" si="9"/>
        <v>34570897.5</v>
      </c>
      <c r="E30" s="359">
        <f t="shared" si="10"/>
        <v>25336442.52</v>
      </c>
      <c r="F30" s="359">
        <f t="shared" si="12"/>
        <v>53721360</v>
      </c>
      <c r="G30" s="359">
        <f t="shared" si="14"/>
        <v>7293000</v>
      </c>
      <c r="H30" s="359">
        <f t="shared" si="11"/>
        <v>10710584.640000001</v>
      </c>
      <c r="I30" s="359">
        <f t="shared" si="15"/>
        <v>9058896</v>
      </c>
      <c r="J30" s="359">
        <f t="shared" si="16"/>
        <v>27878928</v>
      </c>
      <c r="K30" s="59">
        <f t="shared" si="6"/>
        <v>208428273.65999997</v>
      </c>
    </row>
    <row r="31" spans="1:13" x14ac:dyDescent="0.3">
      <c r="A31" s="6">
        <f t="shared" si="7"/>
        <v>46229</v>
      </c>
      <c r="B31" s="359">
        <f t="shared" si="13"/>
        <v>6706065</v>
      </c>
      <c r="C31" s="359">
        <f t="shared" si="8"/>
        <v>33152100</v>
      </c>
      <c r="D31" s="359">
        <f t="shared" si="9"/>
        <v>34570897.5</v>
      </c>
      <c r="E31" s="359">
        <f t="shared" si="10"/>
        <v>25336442.52</v>
      </c>
      <c r="F31" s="359">
        <f t="shared" si="12"/>
        <v>53721360</v>
      </c>
      <c r="G31" s="359">
        <f t="shared" si="14"/>
        <v>7293000</v>
      </c>
      <c r="H31" s="359">
        <f t="shared" si="11"/>
        <v>10710584.640000001</v>
      </c>
      <c r="I31" s="359">
        <f t="shared" si="15"/>
        <v>9058896</v>
      </c>
      <c r="J31" s="359">
        <f t="shared" si="16"/>
        <v>27878928</v>
      </c>
      <c r="K31" s="59">
        <f t="shared" si="6"/>
        <v>208428273.65999997</v>
      </c>
    </row>
    <row r="32" spans="1:13" x14ac:dyDescent="0.3">
      <c r="A32" s="6">
        <f t="shared" si="7"/>
        <v>46230</v>
      </c>
      <c r="B32" s="359">
        <f t="shared" si="13"/>
        <v>6706065</v>
      </c>
      <c r="C32" s="359">
        <f t="shared" si="8"/>
        <v>33152100</v>
      </c>
      <c r="D32" s="359">
        <f t="shared" si="9"/>
        <v>34570897.5</v>
      </c>
      <c r="E32" s="359">
        <f t="shared" si="10"/>
        <v>25336442.52</v>
      </c>
      <c r="F32" s="359">
        <f t="shared" si="12"/>
        <v>53721360</v>
      </c>
      <c r="G32" s="359">
        <f t="shared" si="14"/>
        <v>7293000</v>
      </c>
      <c r="H32" s="359">
        <f t="shared" si="11"/>
        <v>10710584.640000001</v>
      </c>
      <c r="I32" s="359">
        <f t="shared" si="15"/>
        <v>9058896</v>
      </c>
      <c r="J32" s="359">
        <f t="shared" si="16"/>
        <v>27878928</v>
      </c>
      <c r="K32" s="59">
        <f t="shared" si="6"/>
        <v>208428273.65999997</v>
      </c>
    </row>
    <row r="33" spans="1:13" x14ac:dyDescent="0.3">
      <c r="A33" s="6">
        <f t="shared" si="7"/>
        <v>46231</v>
      </c>
      <c r="B33" s="359">
        <f t="shared" si="13"/>
        <v>6706065</v>
      </c>
      <c r="C33" s="359">
        <f t="shared" si="8"/>
        <v>33152100</v>
      </c>
      <c r="D33" s="359">
        <f t="shared" si="9"/>
        <v>34570897.5</v>
      </c>
      <c r="E33" s="359">
        <f t="shared" si="10"/>
        <v>25336442.52</v>
      </c>
      <c r="F33" s="359">
        <f t="shared" si="12"/>
        <v>53721360</v>
      </c>
      <c r="G33" s="359">
        <f t="shared" si="14"/>
        <v>7293000</v>
      </c>
      <c r="H33" s="359">
        <f t="shared" si="11"/>
        <v>10710584.640000001</v>
      </c>
      <c r="I33" s="359">
        <f t="shared" si="15"/>
        <v>9058896</v>
      </c>
      <c r="J33" s="359">
        <f t="shared" si="16"/>
        <v>27878928</v>
      </c>
      <c r="K33" s="59">
        <f t="shared" si="6"/>
        <v>208428273.65999997</v>
      </c>
    </row>
    <row r="34" spans="1:13" x14ac:dyDescent="0.3">
      <c r="A34" s="6">
        <f t="shared" si="7"/>
        <v>46232</v>
      </c>
      <c r="B34" s="359">
        <f t="shared" si="13"/>
        <v>6706065</v>
      </c>
      <c r="C34" s="359">
        <f t="shared" si="8"/>
        <v>33152100</v>
      </c>
      <c r="D34" s="359">
        <f t="shared" si="9"/>
        <v>34570897.5</v>
      </c>
      <c r="E34" s="359">
        <f t="shared" si="10"/>
        <v>25336442.52</v>
      </c>
      <c r="F34" s="359">
        <f t="shared" si="12"/>
        <v>53721360</v>
      </c>
      <c r="G34" s="359">
        <f t="shared" si="14"/>
        <v>7293000</v>
      </c>
      <c r="H34" s="359">
        <f t="shared" si="11"/>
        <v>10710584.640000001</v>
      </c>
      <c r="I34" s="359">
        <f t="shared" si="15"/>
        <v>9058896</v>
      </c>
      <c r="J34" s="359">
        <f t="shared" si="16"/>
        <v>27878928</v>
      </c>
      <c r="K34" s="59">
        <f t="shared" si="6"/>
        <v>208428273.65999997</v>
      </c>
    </row>
    <row r="35" spans="1:13" x14ac:dyDescent="0.3">
      <c r="A35" s="6">
        <f t="shared" si="7"/>
        <v>46233</v>
      </c>
      <c r="B35" s="359">
        <f t="shared" si="13"/>
        <v>6706065</v>
      </c>
      <c r="C35" s="359">
        <f t="shared" si="8"/>
        <v>33152100</v>
      </c>
      <c r="D35" s="359">
        <f t="shared" si="9"/>
        <v>34570897.5</v>
      </c>
      <c r="E35" s="359">
        <f t="shared" si="10"/>
        <v>25336442.52</v>
      </c>
      <c r="F35" s="359">
        <f t="shared" si="12"/>
        <v>53721360</v>
      </c>
      <c r="G35" s="359">
        <f t="shared" si="14"/>
        <v>7293000</v>
      </c>
      <c r="H35" s="359">
        <f t="shared" si="11"/>
        <v>10710584.640000001</v>
      </c>
      <c r="I35" s="359">
        <f t="shared" si="15"/>
        <v>9058896</v>
      </c>
      <c r="J35" s="359">
        <f t="shared" si="16"/>
        <v>27878928</v>
      </c>
      <c r="K35" s="59">
        <f t="shared" si="6"/>
        <v>208428273.65999997</v>
      </c>
    </row>
    <row r="36" spans="1:13" x14ac:dyDescent="0.3">
      <c r="A36" s="6">
        <f t="shared" si="7"/>
        <v>46234</v>
      </c>
      <c r="B36" s="359">
        <f t="shared" si="13"/>
        <v>6706065</v>
      </c>
      <c r="C36" s="359">
        <f t="shared" si="8"/>
        <v>33152100</v>
      </c>
      <c r="D36" s="359">
        <f t="shared" si="9"/>
        <v>34570897.5</v>
      </c>
      <c r="E36" s="359">
        <f t="shared" si="10"/>
        <v>25336442.52</v>
      </c>
      <c r="F36" s="359">
        <f t="shared" si="12"/>
        <v>53721360</v>
      </c>
      <c r="G36" s="359">
        <f t="shared" si="14"/>
        <v>7293000</v>
      </c>
      <c r="H36" s="359">
        <f t="shared" si="11"/>
        <v>10710584.640000001</v>
      </c>
      <c r="I36" s="359">
        <f t="shared" si="15"/>
        <v>9058896</v>
      </c>
      <c r="J36" s="359">
        <f t="shared" si="16"/>
        <v>27878928</v>
      </c>
      <c r="K36" s="59">
        <f t="shared" si="6"/>
        <v>208428273.65999997</v>
      </c>
    </row>
    <row r="37" spans="1:13" x14ac:dyDescent="0.3">
      <c r="A37" s="124"/>
      <c r="B37" s="405"/>
      <c r="C37" s="405"/>
      <c r="D37" s="405"/>
      <c r="E37" s="405"/>
      <c r="F37" s="405"/>
      <c r="G37" s="405"/>
      <c r="H37" s="405"/>
      <c r="I37" s="405"/>
      <c r="J37" s="405"/>
      <c r="K37" s="111"/>
    </row>
    <row r="38" spans="1:13" x14ac:dyDescent="0.3">
      <c r="A38" s="943" t="s">
        <v>56</v>
      </c>
      <c r="B38" s="943"/>
      <c r="C38" s="943"/>
      <c r="D38" s="943"/>
      <c r="E38" s="943"/>
      <c r="F38" s="943"/>
      <c r="G38" s="943"/>
      <c r="H38" s="943"/>
      <c r="I38" s="943"/>
      <c r="J38" s="943"/>
      <c r="K38" s="943"/>
    </row>
    <row r="39" spans="1:13" s="57" customFormat="1" ht="70.8" customHeight="1" x14ac:dyDescent="0.25">
      <c r="A39" s="51" t="s">
        <v>2</v>
      </c>
      <c r="B39" s="112" t="str">
        <f t="shared" ref="B39:J39" si="17">B5</f>
        <v>LD2601400210
 (C.D 13.01.2026, M.D 12.07.2026)</v>
      </c>
      <c r="C39" s="112" t="str">
        <f t="shared" si="17"/>
        <v>LD2603500176
 (C.D 02.02.2026, M.D 01.08.2026)</v>
      </c>
      <c r="D39" s="112" t="str">
        <f t="shared" si="17"/>
        <v>LD2603500175
 (C.D 02.02.2026, M.D 01.08.2026)</v>
      </c>
      <c r="E39" s="112" t="str">
        <f t="shared" si="17"/>
        <v>LD2606500224/27/2931/32
 (C.D 04.03.2026, M.D 31.08.2026)</v>
      </c>
      <c r="F39" s="112" t="str">
        <f t="shared" si="17"/>
        <v>LD2610000177
 (C.D 08.04.2026, M.D 05.10.2026)</v>
      </c>
      <c r="G39" s="112" t="str">
        <f t="shared" si="17"/>
        <v>LD2610700262
 (C.D 15.04.2026, M.D 12.10.2026)</v>
      </c>
      <c r="H39" s="112" t="str">
        <f t="shared" si="17"/>
        <v>LD2612800495
 (C.D 07.05.2026, M.D 03.11.2026)</v>
      </c>
      <c r="I39" s="112" t="str">
        <f t="shared" si="17"/>
        <v>LD2618100442
 (C.D 23.06.2026, M.D 20.12.2026)</v>
      </c>
      <c r="J39" s="112" t="str">
        <f t="shared" si="17"/>
        <v>LD2618100443
 (C.D 23.06.2026, M.D 20.12.2026)</v>
      </c>
      <c r="K39" s="73" t="s">
        <v>0</v>
      </c>
    </row>
    <row r="40" spans="1:13" s="74" customFormat="1" ht="41.4" x14ac:dyDescent="0.25">
      <c r="A40" s="88" t="s">
        <v>273</v>
      </c>
      <c r="B40" s="354">
        <f>10.36%+0.75%</f>
        <v>0.1111</v>
      </c>
      <c r="C40" s="354">
        <f>10.49%+0.75%</f>
        <v>0.1124</v>
      </c>
      <c r="D40" s="354">
        <f>10.49%+0.75%</f>
        <v>0.1124</v>
      </c>
      <c r="E40" s="354">
        <f>10.62%+0.75%</f>
        <v>0.1137</v>
      </c>
      <c r="F40" s="354">
        <f>11.79%+0.75%</f>
        <v>0.12539999999999998</v>
      </c>
      <c r="G40" s="354">
        <f>11.96%+0.75%</f>
        <v>0.12710000000000002</v>
      </c>
      <c r="H40" s="354">
        <f>11.98%+0.75%</f>
        <v>0.1273</v>
      </c>
      <c r="I40" s="354">
        <f>12%+0.75%</f>
        <v>0.1275</v>
      </c>
      <c r="J40" s="354">
        <f>12%+0.75%</f>
        <v>0.1275</v>
      </c>
      <c r="K40" s="94"/>
    </row>
    <row r="41" spans="1:13" x14ac:dyDescent="0.3">
      <c r="A41" s="6">
        <f t="shared" ref="A41:A70" si="18">A6</f>
        <v>46204</v>
      </c>
      <c r="B41" s="33">
        <f t="shared" ref="B41:J41" si="19">IF(B6&lt;0,0,B6*B$40/365)</f>
        <v>2041.2159493150687</v>
      </c>
      <c r="C41" s="33">
        <f t="shared" si="19"/>
        <v>10209.030246575343</v>
      </c>
      <c r="D41" s="33">
        <f t="shared" si="19"/>
        <v>10645.942134246576</v>
      </c>
      <c r="E41" s="33">
        <f t="shared" si="19"/>
        <v>7892.475382257534</v>
      </c>
      <c r="F41" s="33">
        <f t="shared" si="19"/>
        <v>18456.598750684927</v>
      </c>
      <c r="G41" s="33">
        <f t="shared" si="19"/>
        <v>2539.5624657534249</v>
      </c>
      <c r="H41" s="33">
        <f t="shared" si="19"/>
        <v>3735.4997936219179</v>
      </c>
      <c r="I41" s="33">
        <f t="shared" si="19"/>
        <v>3164.4088767123289</v>
      </c>
      <c r="J41" s="33">
        <f t="shared" si="19"/>
        <v>9738.5296438356163</v>
      </c>
      <c r="K41" s="33">
        <f t="shared" ref="K41:K72" si="20">SUM(B41:J41)</f>
        <v>68423.26324300273</v>
      </c>
      <c r="L41" s="824"/>
    </row>
    <row r="42" spans="1:13" x14ac:dyDescent="0.3">
      <c r="A42" s="6">
        <f t="shared" si="18"/>
        <v>46205</v>
      </c>
      <c r="B42" s="33">
        <f t="shared" ref="B42:J42" si="21">IF(B7&lt;0,0,B7*B$40/365)</f>
        <v>2041.2159493150687</v>
      </c>
      <c r="C42" s="33">
        <f t="shared" si="21"/>
        <v>10209.030246575343</v>
      </c>
      <c r="D42" s="33">
        <f t="shared" si="21"/>
        <v>10645.942134246576</v>
      </c>
      <c r="E42" s="33">
        <f t="shared" si="21"/>
        <v>7892.475382257534</v>
      </c>
      <c r="F42" s="33">
        <f t="shared" si="21"/>
        <v>18456.598750684927</v>
      </c>
      <c r="G42" s="33">
        <f t="shared" si="21"/>
        <v>2539.5624657534249</v>
      </c>
      <c r="H42" s="33">
        <f t="shared" si="21"/>
        <v>3735.4997936219179</v>
      </c>
      <c r="I42" s="33">
        <f t="shared" si="21"/>
        <v>3164.4088767123289</v>
      </c>
      <c r="J42" s="33">
        <f t="shared" si="21"/>
        <v>9738.5296438356163</v>
      </c>
      <c r="K42" s="33">
        <f t="shared" si="20"/>
        <v>68423.26324300273</v>
      </c>
      <c r="L42" s="55"/>
    </row>
    <row r="43" spans="1:13" x14ac:dyDescent="0.3">
      <c r="A43" s="6">
        <f t="shared" si="18"/>
        <v>46206</v>
      </c>
      <c r="B43" s="33">
        <f t="shared" ref="B43:J43" si="22">IF(B8&lt;0,0,B8*B$40/365)</f>
        <v>2041.2159493150687</v>
      </c>
      <c r="C43" s="33">
        <f t="shared" si="22"/>
        <v>10209.030246575343</v>
      </c>
      <c r="D43" s="33">
        <f t="shared" si="22"/>
        <v>10645.942134246576</v>
      </c>
      <c r="E43" s="33">
        <f t="shared" si="22"/>
        <v>7892.475382257534</v>
      </c>
      <c r="F43" s="33">
        <f t="shared" si="22"/>
        <v>18456.598750684927</v>
      </c>
      <c r="G43" s="33">
        <f t="shared" si="22"/>
        <v>2539.5624657534249</v>
      </c>
      <c r="H43" s="33">
        <f t="shared" si="22"/>
        <v>3735.4997936219179</v>
      </c>
      <c r="I43" s="33">
        <f t="shared" si="22"/>
        <v>3164.4088767123289</v>
      </c>
      <c r="J43" s="33">
        <f t="shared" si="22"/>
        <v>9738.5296438356163</v>
      </c>
      <c r="K43" s="33">
        <f t="shared" si="20"/>
        <v>68423.26324300273</v>
      </c>
      <c r="L43" s="55"/>
    </row>
    <row r="44" spans="1:13" x14ac:dyDescent="0.3">
      <c r="A44" s="6">
        <f t="shared" si="18"/>
        <v>46207</v>
      </c>
      <c r="B44" s="33">
        <f t="shared" ref="B44:J44" si="23">IF(B9&lt;0,0,B9*B$40/365)</f>
        <v>2041.2159493150687</v>
      </c>
      <c r="C44" s="33">
        <f t="shared" si="23"/>
        <v>10209.030246575343</v>
      </c>
      <c r="D44" s="33">
        <f t="shared" si="23"/>
        <v>10645.942134246576</v>
      </c>
      <c r="E44" s="33">
        <f t="shared" si="23"/>
        <v>7892.475382257534</v>
      </c>
      <c r="F44" s="33">
        <f t="shared" si="23"/>
        <v>18456.598750684927</v>
      </c>
      <c r="G44" s="33">
        <f t="shared" si="23"/>
        <v>2539.5624657534249</v>
      </c>
      <c r="H44" s="33">
        <f t="shared" si="23"/>
        <v>3735.4997936219179</v>
      </c>
      <c r="I44" s="33">
        <f t="shared" si="23"/>
        <v>3164.4088767123289</v>
      </c>
      <c r="J44" s="33">
        <f t="shared" si="23"/>
        <v>9738.5296438356163</v>
      </c>
      <c r="K44" s="33">
        <f t="shared" si="20"/>
        <v>68423.26324300273</v>
      </c>
    </row>
    <row r="45" spans="1:13" x14ac:dyDescent="0.3">
      <c r="A45" s="6">
        <f t="shared" si="18"/>
        <v>46208</v>
      </c>
      <c r="B45" s="33">
        <f t="shared" ref="B45:J45" si="24">IF(B10&lt;0,0,B10*B$40/365)</f>
        <v>2041.2159493150687</v>
      </c>
      <c r="C45" s="33">
        <f t="shared" si="24"/>
        <v>10209.030246575343</v>
      </c>
      <c r="D45" s="33">
        <f t="shared" si="24"/>
        <v>10645.942134246576</v>
      </c>
      <c r="E45" s="33">
        <f t="shared" si="24"/>
        <v>7892.475382257534</v>
      </c>
      <c r="F45" s="33">
        <f t="shared" si="24"/>
        <v>18456.598750684927</v>
      </c>
      <c r="G45" s="33">
        <f t="shared" si="24"/>
        <v>2539.5624657534249</v>
      </c>
      <c r="H45" s="33">
        <f t="shared" si="24"/>
        <v>3735.4997936219179</v>
      </c>
      <c r="I45" s="33">
        <f t="shared" si="24"/>
        <v>3164.4088767123289</v>
      </c>
      <c r="J45" s="33">
        <f t="shared" si="24"/>
        <v>9738.5296438356163</v>
      </c>
      <c r="K45" s="33">
        <f t="shared" si="20"/>
        <v>68423.26324300273</v>
      </c>
      <c r="M45" s="55"/>
    </row>
    <row r="46" spans="1:13" x14ac:dyDescent="0.3">
      <c r="A46" s="6">
        <f t="shared" si="18"/>
        <v>46209</v>
      </c>
      <c r="B46" s="33">
        <f t="shared" ref="B46:J46" si="25">IF(B11&lt;0,0,B11*B$40/365)</f>
        <v>2041.2159493150687</v>
      </c>
      <c r="C46" s="33">
        <f t="shared" si="25"/>
        <v>10209.030246575343</v>
      </c>
      <c r="D46" s="33">
        <f t="shared" si="25"/>
        <v>10645.942134246576</v>
      </c>
      <c r="E46" s="33">
        <f t="shared" si="25"/>
        <v>7892.475382257534</v>
      </c>
      <c r="F46" s="33">
        <f t="shared" si="25"/>
        <v>18456.598750684927</v>
      </c>
      <c r="G46" s="33">
        <f t="shared" si="25"/>
        <v>2539.5624657534249</v>
      </c>
      <c r="H46" s="33">
        <f t="shared" si="25"/>
        <v>3735.4997936219179</v>
      </c>
      <c r="I46" s="33">
        <f t="shared" si="25"/>
        <v>3164.4088767123289</v>
      </c>
      <c r="J46" s="33">
        <f t="shared" si="25"/>
        <v>9738.5296438356163</v>
      </c>
      <c r="K46" s="33">
        <f t="shared" si="20"/>
        <v>68423.26324300273</v>
      </c>
    </row>
    <row r="47" spans="1:13" x14ac:dyDescent="0.3">
      <c r="A47" s="6">
        <f t="shared" si="18"/>
        <v>46210</v>
      </c>
      <c r="B47" s="33">
        <f t="shared" ref="B47:J47" si="26">IF(B12&lt;0,0,B12*B$40/365)</f>
        <v>2041.2159493150687</v>
      </c>
      <c r="C47" s="33">
        <f t="shared" si="26"/>
        <v>10209.030246575343</v>
      </c>
      <c r="D47" s="33">
        <f t="shared" si="26"/>
        <v>10645.942134246576</v>
      </c>
      <c r="E47" s="33">
        <f t="shared" si="26"/>
        <v>7892.475382257534</v>
      </c>
      <c r="F47" s="33">
        <f t="shared" si="26"/>
        <v>18456.598750684927</v>
      </c>
      <c r="G47" s="33">
        <f t="shared" si="26"/>
        <v>2539.5624657534249</v>
      </c>
      <c r="H47" s="33">
        <f t="shared" si="26"/>
        <v>3735.4997936219179</v>
      </c>
      <c r="I47" s="33">
        <f t="shared" si="26"/>
        <v>3164.4088767123289</v>
      </c>
      <c r="J47" s="33">
        <f t="shared" si="26"/>
        <v>9738.5296438356163</v>
      </c>
      <c r="K47" s="33">
        <f t="shared" si="20"/>
        <v>68423.26324300273</v>
      </c>
    </row>
    <row r="48" spans="1:13" x14ac:dyDescent="0.3">
      <c r="A48" s="6">
        <f t="shared" si="18"/>
        <v>46211</v>
      </c>
      <c r="B48" s="33">
        <f t="shared" ref="B48:J48" si="27">IF(B13&lt;0,0,B13*B$40/365)</f>
        <v>2041.2159493150687</v>
      </c>
      <c r="C48" s="33">
        <f t="shared" si="27"/>
        <v>10209.030246575343</v>
      </c>
      <c r="D48" s="33">
        <f t="shared" si="27"/>
        <v>10645.942134246576</v>
      </c>
      <c r="E48" s="33">
        <f t="shared" si="27"/>
        <v>7892.475382257534</v>
      </c>
      <c r="F48" s="33">
        <f t="shared" si="27"/>
        <v>18456.598750684927</v>
      </c>
      <c r="G48" s="33">
        <f t="shared" si="27"/>
        <v>2539.5624657534249</v>
      </c>
      <c r="H48" s="33">
        <f t="shared" si="27"/>
        <v>3735.4997936219179</v>
      </c>
      <c r="I48" s="33">
        <f t="shared" si="27"/>
        <v>3164.4088767123289</v>
      </c>
      <c r="J48" s="33">
        <f t="shared" si="27"/>
        <v>9738.5296438356163</v>
      </c>
      <c r="K48" s="33">
        <f t="shared" si="20"/>
        <v>68423.26324300273</v>
      </c>
    </row>
    <row r="49" spans="1:12" x14ac:dyDescent="0.3">
      <c r="A49" s="6">
        <f t="shared" si="18"/>
        <v>46212</v>
      </c>
      <c r="B49" s="33">
        <f t="shared" ref="B49:J49" si="28">IF(B14&lt;0,0,B14*B$40/365)</f>
        <v>2041.2159493150687</v>
      </c>
      <c r="C49" s="33">
        <f t="shared" si="28"/>
        <v>10209.030246575343</v>
      </c>
      <c r="D49" s="33">
        <f t="shared" si="28"/>
        <v>10645.942134246576</v>
      </c>
      <c r="E49" s="33">
        <f t="shared" si="28"/>
        <v>7892.475382257534</v>
      </c>
      <c r="F49" s="33">
        <f t="shared" si="28"/>
        <v>18456.598750684927</v>
      </c>
      <c r="G49" s="33">
        <f t="shared" si="28"/>
        <v>2539.5624657534249</v>
      </c>
      <c r="H49" s="33">
        <f t="shared" si="28"/>
        <v>3735.4997936219179</v>
      </c>
      <c r="I49" s="33">
        <f t="shared" si="28"/>
        <v>3164.4088767123289</v>
      </c>
      <c r="J49" s="33">
        <f t="shared" si="28"/>
        <v>9738.5296438356163</v>
      </c>
      <c r="K49" s="33">
        <f t="shared" si="20"/>
        <v>68423.26324300273</v>
      </c>
    </row>
    <row r="50" spans="1:12" x14ac:dyDescent="0.3">
      <c r="A50" s="6">
        <f t="shared" si="18"/>
        <v>46213</v>
      </c>
      <c r="B50" s="33">
        <f t="shared" ref="B50:J50" si="29">IF(B15&lt;0,0,B15*B$40/365)</f>
        <v>2041.2159493150687</v>
      </c>
      <c r="C50" s="33">
        <f t="shared" si="29"/>
        <v>10209.030246575343</v>
      </c>
      <c r="D50" s="33">
        <f t="shared" si="29"/>
        <v>10645.942134246576</v>
      </c>
      <c r="E50" s="33">
        <f t="shared" si="29"/>
        <v>7892.475382257534</v>
      </c>
      <c r="F50" s="33">
        <f t="shared" si="29"/>
        <v>18456.598750684927</v>
      </c>
      <c r="G50" s="33">
        <f t="shared" si="29"/>
        <v>2539.5624657534249</v>
      </c>
      <c r="H50" s="33">
        <f t="shared" si="29"/>
        <v>3735.4997936219179</v>
      </c>
      <c r="I50" s="33">
        <f t="shared" si="29"/>
        <v>3164.4088767123289</v>
      </c>
      <c r="J50" s="33">
        <f t="shared" si="29"/>
        <v>9738.5296438356163</v>
      </c>
      <c r="K50" s="33">
        <f t="shared" si="20"/>
        <v>68423.26324300273</v>
      </c>
    </row>
    <row r="51" spans="1:12" x14ac:dyDescent="0.3">
      <c r="A51" s="6">
        <f t="shared" si="18"/>
        <v>46214</v>
      </c>
      <c r="B51" s="33">
        <f t="shared" ref="B51:J51" si="30">IF(B16&lt;0,0,B16*B$40/365)</f>
        <v>2041.2159493150687</v>
      </c>
      <c r="C51" s="33">
        <f t="shared" si="30"/>
        <v>10209.030246575343</v>
      </c>
      <c r="D51" s="33">
        <f t="shared" si="30"/>
        <v>10645.942134246576</v>
      </c>
      <c r="E51" s="33">
        <f t="shared" si="30"/>
        <v>7892.475382257534</v>
      </c>
      <c r="F51" s="33">
        <f t="shared" si="30"/>
        <v>18456.598750684927</v>
      </c>
      <c r="G51" s="33">
        <f t="shared" si="30"/>
        <v>2539.5624657534249</v>
      </c>
      <c r="H51" s="33">
        <f t="shared" si="30"/>
        <v>3735.4997936219179</v>
      </c>
      <c r="I51" s="33">
        <f t="shared" si="30"/>
        <v>3164.4088767123289</v>
      </c>
      <c r="J51" s="33">
        <f t="shared" si="30"/>
        <v>9738.5296438356163</v>
      </c>
      <c r="K51" s="33">
        <f t="shared" si="20"/>
        <v>68423.26324300273</v>
      </c>
    </row>
    <row r="52" spans="1:12" x14ac:dyDescent="0.3">
      <c r="A52" s="6">
        <f t="shared" si="18"/>
        <v>46215</v>
      </c>
      <c r="B52" s="33">
        <f t="shared" ref="B52:J52" si="31">IF(B17&lt;0,0,B17*B$40/365)</f>
        <v>2041.2159493150687</v>
      </c>
      <c r="C52" s="33">
        <f t="shared" si="31"/>
        <v>10209.030246575343</v>
      </c>
      <c r="D52" s="33">
        <f t="shared" si="31"/>
        <v>10645.942134246576</v>
      </c>
      <c r="E52" s="33">
        <f t="shared" si="31"/>
        <v>7892.475382257534</v>
      </c>
      <c r="F52" s="33">
        <f t="shared" si="31"/>
        <v>18456.598750684927</v>
      </c>
      <c r="G52" s="33">
        <f t="shared" si="31"/>
        <v>2539.5624657534249</v>
      </c>
      <c r="H52" s="33">
        <f t="shared" si="31"/>
        <v>3735.4997936219179</v>
      </c>
      <c r="I52" s="33">
        <f t="shared" si="31"/>
        <v>3164.4088767123289</v>
      </c>
      <c r="J52" s="33">
        <f t="shared" si="31"/>
        <v>9738.5296438356163</v>
      </c>
      <c r="K52" s="33">
        <f t="shared" si="20"/>
        <v>68423.26324300273</v>
      </c>
    </row>
    <row r="53" spans="1:12" x14ac:dyDescent="0.3">
      <c r="A53" s="6">
        <f t="shared" si="18"/>
        <v>46216</v>
      </c>
      <c r="B53" s="33">
        <f t="shared" ref="B53:J53" si="32">IF(B18&lt;0,0,B18*B$40/365)</f>
        <v>2041.2159493150687</v>
      </c>
      <c r="C53" s="33">
        <f t="shared" si="32"/>
        <v>10209.030246575343</v>
      </c>
      <c r="D53" s="33">
        <f t="shared" si="32"/>
        <v>10645.942134246576</v>
      </c>
      <c r="E53" s="33">
        <f t="shared" si="32"/>
        <v>7892.475382257534</v>
      </c>
      <c r="F53" s="33">
        <f t="shared" si="32"/>
        <v>18456.598750684927</v>
      </c>
      <c r="G53" s="33">
        <f t="shared" si="32"/>
        <v>2539.5624657534249</v>
      </c>
      <c r="H53" s="33">
        <f t="shared" si="32"/>
        <v>3735.4997936219179</v>
      </c>
      <c r="I53" s="33">
        <f t="shared" si="32"/>
        <v>3164.4088767123289</v>
      </c>
      <c r="J53" s="33">
        <f t="shared" si="32"/>
        <v>9738.5296438356163</v>
      </c>
      <c r="K53" s="33">
        <f t="shared" si="20"/>
        <v>68423.26324300273</v>
      </c>
    </row>
    <row r="54" spans="1:12" x14ac:dyDescent="0.3">
      <c r="A54" s="6">
        <f t="shared" si="18"/>
        <v>46217</v>
      </c>
      <c r="B54" s="33">
        <f t="shared" ref="B54:J54" si="33">IF(B19&lt;0,0,B19*B$40/365)</f>
        <v>2041.2159493150687</v>
      </c>
      <c r="C54" s="33">
        <f t="shared" si="33"/>
        <v>10209.030246575343</v>
      </c>
      <c r="D54" s="33">
        <f t="shared" si="33"/>
        <v>10645.942134246576</v>
      </c>
      <c r="E54" s="33">
        <f t="shared" si="33"/>
        <v>7892.475382257534</v>
      </c>
      <c r="F54" s="33">
        <f t="shared" si="33"/>
        <v>18456.598750684927</v>
      </c>
      <c r="G54" s="33">
        <f t="shared" si="33"/>
        <v>2539.5624657534249</v>
      </c>
      <c r="H54" s="33">
        <f t="shared" si="33"/>
        <v>3735.4997936219179</v>
      </c>
      <c r="I54" s="33">
        <f t="shared" si="33"/>
        <v>3164.4088767123289</v>
      </c>
      <c r="J54" s="33">
        <f t="shared" si="33"/>
        <v>9738.5296438356163</v>
      </c>
      <c r="K54" s="33">
        <f t="shared" si="20"/>
        <v>68423.26324300273</v>
      </c>
    </row>
    <row r="55" spans="1:12" x14ac:dyDescent="0.3">
      <c r="A55" s="6">
        <f t="shared" si="18"/>
        <v>46218</v>
      </c>
      <c r="B55" s="33">
        <f t="shared" ref="B55:J55" si="34">IF(B20&lt;0,0,B20*B$40/365)</f>
        <v>2041.2159493150687</v>
      </c>
      <c r="C55" s="33">
        <f t="shared" si="34"/>
        <v>10209.030246575343</v>
      </c>
      <c r="D55" s="33">
        <f t="shared" si="34"/>
        <v>10645.942134246576</v>
      </c>
      <c r="E55" s="33">
        <f t="shared" si="34"/>
        <v>7892.475382257534</v>
      </c>
      <c r="F55" s="33">
        <f t="shared" si="34"/>
        <v>18456.598750684927</v>
      </c>
      <c r="G55" s="33">
        <f t="shared" si="34"/>
        <v>2539.5624657534249</v>
      </c>
      <c r="H55" s="33">
        <f t="shared" si="34"/>
        <v>3735.4997936219179</v>
      </c>
      <c r="I55" s="33">
        <f t="shared" si="34"/>
        <v>3164.4088767123289</v>
      </c>
      <c r="J55" s="33">
        <f t="shared" si="34"/>
        <v>9738.5296438356163</v>
      </c>
      <c r="K55" s="33">
        <f t="shared" si="20"/>
        <v>68423.26324300273</v>
      </c>
    </row>
    <row r="56" spans="1:12" x14ac:dyDescent="0.3">
      <c r="A56" s="6">
        <f t="shared" si="18"/>
        <v>46219</v>
      </c>
      <c r="B56" s="33">
        <f t="shared" ref="B56:J56" si="35">IF(B21&lt;0,0,B21*B$40/365)</f>
        <v>2041.2159493150687</v>
      </c>
      <c r="C56" s="33">
        <f t="shared" si="35"/>
        <v>10209.030246575343</v>
      </c>
      <c r="D56" s="33">
        <f t="shared" si="35"/>
        <v>10645.942134246576</v>
      </c>
      <c r="E56" s="33">
        <f t="shared" si="35"/>
        <v>7892.475382257534</v>
      </c>
      <c r="F56" s="33">
        <f t="shared" si="35"/>
        <v>18456.598750684927</v>
      </c>
      <c r="G56" s="33">
        <f t="shared" si="35"/>
        <v>2539.5624657534249</v>
      </c>
      <c r="H56" s="33">
        <f t="shared" si="35"/>
        <v>3735.4997936219179</v>
      </c>
      <c r="I56" s="33">
        <f t="shared" si="35"/>
        <v>3164.4088767123289</v>
      </c>
      <c r="J56" s="33">
        <f t="shared" si="35"/>
        <v>9738.5296438356163</v>
      </c>
      <c r="K56" s="33">
        <f t="shared" si="20"/>
        <v>68423.26324300273</v>
      </c>
    </row>
    <row r="57" spans="1:12" x14ac:dyDescent="0.3">
      <c r="A57" s="6">
        <f t="shared" si="18"/>
        <v>46220</v>
      </c>
      <c r="B57" s="33">
        <f t="shared" ref="B57:J57" si="36">IF(B22&lt;0,0,B22*B$40/365)</f>
        <v>2041.2159493150687</v>
      </c>
      <c r="C57" s="33">
        <f t="shared" si="36"/>
        <v>10209.030246575343</v>
      </c>
      <c r="D57" s="33">
        <f t="shared" si="36"/>
        <v>10645.942134246576</v>
      </c>
      <c r="E57" s="33">
        <f t="shared" si="36"/>
        <v>7892.475382257534</v>
      </c>
      <c r="F57" s="33">
        <f t="shared" si="36"/>
        <v>18456.598750684927</v>
      </c>
      <c r="G57" s="33">
        <f t="shared" si="36"/>
        <v>2539.5624657534249</v>
      </c>
      <c r="H57" s="33">
        <f t="shared" si="36"/>
        <v>3735.4997936219179</v>
      </c>
      <c r="I57" s="33">
        <f t="shared" si="36"/>
        <v>3164.4088767123289</v>
      </c>
      <c r="J57" s="33">
        <f t="shared" si="36"/>
        <v>9738.5296438356163</v>
      </c>
      <c r="K57" s="33">
        <f t="shared" si="20"/>
        <v>68423.26324300273</v>
      </c>
      <c r="L57" s="258"/>
    </row>
    <row r="58" spans="1:12" x14ac:dyDescent="0.3">
      <c r="A58" s="6">
        <f t="shared" si="18"/>
        <v>46221</v>
      </c>
      <c r="B58" s="33">
        <f t="shared" ref="B58:J58" si="37">IF(B23&lt;0,0,B23*B$40/365)</f>
        <v>2041.2159493150687</v>
      </c>
      <c r="C58" s="33">
        <f t="shared" si="37"/>
        <v>10209.030246575343</v>
      </c>
      <c r="D58" s="33">
        <f t="shared" si="37"/>
        <v>10645.942134246576</v>
      </c>
      <c r="E58" s="33">
        <f t="shared" si="37"/>
        <v>7892.475382257534</v>
      </c>
      <c r="F58" s="33">
        <f t="shared" si="37"/>
        <v>18456.598750684927</v>
      </c>
      <c r="G58" s="33">
        <f t="shared" si="37"/>
        <v>2539.5624657534249</v>
      </c>
      <c r="H58" s="33">
        <f t="shared" si="37"/>
        <v>3735.4997936219179</v>
      </c>
      <c r="I58" s="33">
        <f t="shared" si="37"/>
        <v>3164.4088767123289</v>
      </c>
      <c r="J58" s="33">
        <f t="shared" si="37"/>
        <v>9738.5296438356163</v>
      </c>
      <c r="K58" s="33">
        <f t="shared" si="20"/>
        <v>68423.26324300273</v>
      </c>
    </row>
    <row r="59" spans="1:12" x14ac:dyDescent="0.3">
      <c r="A59" s="6">
        <f t="shared" si="18"/>
        <v>46222</v>
      </c>
      <c r="B59" s="33">
        <f t="shared" ref="B59:J59" si="38">IF(B24&lt;0,0,B24*B$40/365)</f>
        <v>2041.2159493150687</v>
      </c>
      <c r="C59" s="33">
        <f t="shared" si="38"/>
        <v>10209.030246575343</v>
      </c>
      <c r="D59" s="33">
        <f t="shared" si="38"/>
        <v>10645.942134246576</v>
      </c>
      <c r="E59" s="33">
        <f t="shared" si="38"/>
        <v>7892.475382257534</v>
      </c>
      <c r="F59" s="33">
        <f t="shared" si="38"/>
        <v>18456.598750684927</v>
      </c>
      <c r="G59" s="33">
        <f t="shared" si="38"/>
        <v>2539.5624657534249</v>
      </c>
      <c r="H59" s="33">
        <f t="shared" si="38"/>
        <v>3735.4997936219179</v>
      </c>
      <c r="I59" s="33">
        <f t="shared" si="38"/>
        <v>3164.4088767123289</v>
      </c>
      <c r="J59" s="33">
        <f t="shared" si="38"/>
        <v>9738.5296438356163</v>
      </c>
      <c r="K59" s="33">
        <f t="shared" si="20"/>
        <v>68423.26324300273</v>
      </c>
    </row>
    <row r="60" spans="1:12" x14ac:dyDescent="0.3">
      <c r="A60" s="6">
        <f t="shared" si="18"/>
        <v>46223</v>
      </c>
      <c r="B60" s="33">
        <f t="shared" ref="B60:J60" si="39">IF(B25&lt;0,0,B25*B$40/365)</f>
        <v>2041.2159493150687</v>
      </c>
      <c r="C60" s="33">
        <f t="shared" si="39"/>
        <v>10209.030246575343</v>
      </c>
      <c r="D60" s="33">
        <f t="shared" si="39"/>
        <v>10645.942134246576</v>
      </c>
      <c r="E60" s="33">
        <f t="shared" si="39"/>
        <v>7892.475382257534</v>
      </c>
      <c r="F60" s="33">
        <f t="shared" si="39"/>
        <v>18456.598750684927</v>
      </c>
      <c r="G60" s="33">
        <f t="shared" si="39"/>
        <v>2539.5624657534249</v>
      </c>
      <c r="H60" s="33">
        <f t="shared" si="39"/>
        <v>3735.4997936219179</v>
      </c>
      <c r="I60" s="33">
        <f t="shared" si="39"/>
        <v>3164.4088767123289</v>
      </c>
      <c r="J60" s="33">
        <f t="shared" si="39"/>
        <v>9738.5296438356163</v>
      </c>
      <c r="K60" s="33">
        <f t="shared" si="20"/>
        <v>68423.26324300273</v>
      </c>
    </row>
    <row r="61" spans="1:12" x14ac:dyDescent="0.3">
      <c r="A61" s="6">
        <f t="shared" si="18"/>
        <v>46224</v>
      </c>
      <c r="B61" s="33">
        <f t="shared" ref="B61:J61" si="40">IF(B26&lt;0,0,B26*B$40/365)</f>
        <v>2041.2159493150687</v>
      </c>
      <c r="C61" s="33">
        <f t="shared" si="40"/>
        <v>10209.030246575343</v>
      </c>
      <c r="D61" s="33">
        <f t="shared" si="40"/>
        <v>10645.942134246576</v>
      </c>
      <c r="E61" s="33">
        <f t="shared" si="40"/>
        <v>7892.475382257534</v>
      </c>
      <c r="F61" s="33">
        <f t="shared" si="40"/>
        <v>18456.598750684927</v>
      </c>
      <c r="G61" s="33">
        <f t="shared" si="40"/>
        <v>2539.5624657534249</v>
      </c>
      <c r="H61" s="33">
        <f t="shared" si="40"/>
        <v>3735.4997936219179</v>
      </c>
      <c r="I61" s="33">
        <f t="shared" si="40"/>
        <v>3164.4088767123289</v>
      </c>
      <c r="J61" s="33">
        <f t="shared" si="40"/>
        <v>9738.5296438356163</v>
      </c>
      <c r="K61" s="33">
        <f t="shared" si="20"/>
        <v>68423.26324300273</v>
      </c>
    </row>
    <row r="62" spans="1:12" x14ac:dyDescent="0.3">
      <c r="A62" s="6">
        <f t="shared" si="18"/>
        <v>46225</v>
      </c>
      <c r="B62" s="33">
        <f t="shared" ref="B62:J62" si="41">IF(B27&lt;0,0,B27*B$40/365)</f>
        <v>2041.2159493150687</v>
      </c>
      <c r="C62" s="33">
        <f t="shared" si="41"/>
        <v>10209.030246575343</v>
      </c>
      <c r="D62" s="33">
        <f t="shared" si="41"/>
        <v>10645.942134246576</v>
      </c>
      <c r="E62" s="33">
        <f t="shared" si="41"/>
        <v>7892.475382257534</v>
      </c>
      <c r="F62" s="33">
        <f t="shared" si="41"/>
        <v>18456.598750684927</v>
      </c>
      <c r="G62" s="33">
        <f t="shared" si="41"/>
        <v>2539.5624657534249</v>
      </c>
      <c r="H62" s="33">
        <f t="shared" si="41"/>
        <v>3735.4997936219179</v>
      </c>
      <c r="I62" s="33">
        <f t="shared" si="41"/>
        <v>3164.4088767123289</v>
      </c>
      <c r="J62" s="33">
        <f t="shared" si="41"/>
        <v>9738.5296438356163</v>
      </c>
      <c r="K62" s="33">
        <f t="shared" si="20"/>
        <v>68423.26324300273</v>
      </c>
    </row>
    <row r="63" spans="1:12" x14ac:dyDescent="0.3">
      <c r="A63" s="6">
        <f t="shared" si="18"/>
        <v>46226</v>
      </c>
      <c r="B63" s="33">
        <f t="shared" ref="B63:J63" si="42">IF(B28&lt;0,0,B28*B$40/365)</f>
        <v>2041.2159493150687</v>
      </c>
      <c r="C63" s="33">
        <f t="shared" si="42"/>
        <v>10209.030246575343</v>
      </c>
      <c r="D63" s="33">
        <f t="shared" si="42"/>
        <v>10645.942134246576</v>
      </c>
      <c r="E63" s="33">
        <f t="shared" si="42"/>
        <v>7892.475382257534</v>
      </c>
      <c r="F63" s="33">
        <f t="shared" si="42"/>
        <v>18456.598750684927</v>
      </c>
      <c r="G63" s="33">
        <f t="shared" si="42"/>
        <v>2539.5624657534249</v>
      </c>
      <c r="H63" s="33">
        <f t="shared" si="42"/>
        <v>3735.4997936219179</v>
      </c>
      <c r="I63" s="33">
        <f t="shared" si="42"/>
        <v>3164.4088767123289</v>
      </c>
      <c r="J63" s="33">
        <f t="shared" si="42"/>
        <v>9738.5296438356163</v>
      </c>
      <c r="K63" s="33">
        <f t="shared" si="20"/>
        <v>68423.26324300273</v>
      </c>
    </row>
    <row r="64" spans="1:12" x14ac:dyDescent="0.3">
      <c r="A64" s="6">
        <f t="shared" si="18"/>
        <v>46227</v>
      </c>
      <c r="B64" s="33">
        <f t="shared" ref="B64:J64" si="43">IF(B29&lt;0,0,B29*B$40/365)</f>
        <v>2041.2159493150687</v>
      </c>
      <c r="C64" s="33">
        <f t="shared" si="43"/>
        <v>10209.030246575343</v>
      </c>
      <c r="D64" s="33">
        <f t="shared" si="43"/>
        <v>10645.942134246576</v>
      </c>
      <c r="E64" s="33">
        <f t="shared" si="43"/>
        <v>7892.475382257534</v>
      </c>
      <c r="F64" s="33">
        <f t="shared" si="43"/>
        <v>18456.598750684927</v>
      </c>
      <c r="G64" s="33">
        <f t="shared" si="43"/>
        <v>2539.5624657534249</v>
      </c>
      <c r="H64" s="33">
        <f t="shared" si="43"/>
        <v>3735.4997936219179</v>
      </c>
      <c r="I64" s="33">
        <f t="shared" si="43"/>
        <v>3164.4088767123289</v>
      </c>
      <c r="J64" s="33">
        <f t="shared" si="43"/>
        <v>9738.5296438356163</v>
      </c>
      <c r="K64" s="33">
        <f t="shared" si="20"/>
        <v>68423.26324300273</v>
      </c>
    </row>
    <row r="65" spans="1:12" x14ac:dyDescent="0.3">
      <c r="A65" s="6">
        <f t="shared" si="18"/>
        <v>46228</v>
      </c>
      <c r="B65" s="33">
        <f t="shared" ref="B65:J65" si="44">IF(B30&lt;0,0,B30*B$40/365)</f>
        <v>2041.2159493150687</v>
      </c>
      <c r="C65" s="33">
        <f t="shared" si="44"/>
        <v>10209.030246575343</v>
      </c>
      <c r="D65" s="33">
        <f t="shared" si="44"/>
        <v>10645.942134246576</v>
      </c>
      <c r="E65" s="33">
        <f t="shared" si="44"/>
        <v>7892.475382257534</v>
      </c>
      <c r="F65" s="33">
        <f t="shared" si="44"/>
        <v>18456.598750684927</v>
      </c>
      <c r="G65" s="33">
        <f t="shared" si="44"/>
        <v>2539.5624657534249</v>
      </c>
      <c r="H65" s="33">
        <f t="shared" si="44"/>
        <v>3735.4997936219179</v>
      </c>
      <c r="I65" s="33">
        <f t="shared" si="44"/>
        <v>3164.4088767123289</v>
      </c>
      <c r="J65" s="33">
        <f t="shared" si="44"/>
        <v>9738.5296438356163</v>
      </c>
      <c r="K65" s="33">
        <f t="shared" si="20"/>
        <v>68423.26324300273</v>
      </c>
    </row>
    <row r="66" spans="1:12" x14ac:dyDescent="0.3">
      <c r="A66" s="6">
        <f t="shared" si="18"/>
        <v>46229</v>
      </c>
      <c r="B66" s="33">
        <f t="shared" ref="B66:J66" si="45">IF(B31&lt;0,0,B31*B$40/365)</f>
        <v>2041.2159493150687</v>
      </c>
      <c r="C66" s="33">
        <f t="shared" si="45"/>
        <v>10209.030246575343</v>
      </c>
      <c r="D66" s="33">
        <f t="shared" si="45"/>
        <v>10645.942134246576</v>
      </c>
      <c r="E66" s="33">
        <f t="shared" si="45"/>
        <v>7892.475382257534</v>
      </c>
      <c r="F66" s="33">
        <f t="shared" si="45"/>
        <v>18456.598750684927</v>
      </c>
      <c r="G66" s="33">
        <f t="shared" si="45"/>
        <v>2539.5624657534249</v>
      </c>
      <c r="H66" s="33">
        <f t="shared" si="45"/>
        <v>3735.4997936219179</v>
      </c>
      <c r="I66" s="33">
        <f t="shared" si="45"/>
        <v>3164.4088767123289</v>
      </c>
      <c r="J66" s="33">
        <f t="shared" si="45"/>
        <v>9738.5296438356163</v>
      </c>
      <c r="K66" s="33">
        <f t="shared" si="20"/>
        <v>68423.26324300273</v>
      </c>
    </row>
    <row r="67" spans="1:12" x14ac:dyDescent="0.3">
      <c r="A67" s="6">
        <f t="shared" si="18"/>
        <v>46230</v>
      </c>
      <c r="B67" s="33">
        <f t="shared" ref="B67:J67" si="46">IF(B32&lt;0,0,B32*B$40/365)</f>
        <v>2041.2159493150687</v>
      </c>
      <c r="C67" s="33">
        <f t="shared" si="46"/>
        <v>10209.030246575343</v>
      </c>
      <c r="D67" s="33">
        <f t="shared" si="46"/>
        <v>10645.942134246576</v>
      </c>
      <c r="E67" s="33">
        <f t="shared" si="46"/>
        <v>7892.475382257534</v>
      </c>
      <c r="F67" s="33">
        <f t="shared" si="46"/>
        <v>18456.598750684927</v>
      </c>
      <c r="G67" s="33">
        <f t="shared" si="46"/>
        <v>2539.5624657534249</v>
      </c>
      <c r="H67" s="33">
        <f t="shared" si="46"/>
        <v>3735.4997936219179</v>
      </c>
      <c r="I67" s="33">
        <f t="shared" si="46"/>
        <v>3164.4088767123289</v>
      </c>
      <c r="J67" s="33">
        <f t="shared" si="46"/>
        <v>9738.5296438356163</v>
      </c>
      <c r="K67" s="33">
        <f t="shared" si="20"/>
        <v>68423.26324300273</v>
      </c>
    </row>
    <row r="68" spans="1:12" x14ac:dyDescent="0.3">
      <c r="A68" s="6">
        <f t="shared" si="18"/>
        <v>46231</v>
      </c>
      <c r="B68" s="33">
        <f t="shared" ref="B68:J68" si="47">IF(B33&lt;0,0,B33*B$40/365)</f>
        <v>2041.2159493150687</v>
      </c>
      <c r="C68" s="33">
        <f t="shared" si="47"/>
        <v>10209.030246575343</v>
      </c>
      <c r="D68" s="33">
        <f t="shared" si="47"/>
        <v>10645.942134246576</v>
      </c>
      <c r="E68" s="33">
        <f t="shared" si="47"/>
        <v>7892.475382257534</v>
      </c>
      <c r="F68" s="33">
        <f t="shared" si="47"/>
        <v>18456.598750684927</v>
      </c>
      <c r="G68" s="33">
        <f t="shared" si="47"/>
        <v>2539.5624657534249</v>
      </c>
      <c r="H68" s="33">
        <f t="shared" si="47"/>
        <v>3735.4997936219179</v>
      </c>
      <c r="I68" s="33">
        <f t="shared" si="47"/>
        <v>3164.4088767123289</v>
      </c>
      <c r="J68" s="33">
        <f t="shared" si="47"/>
        <v>9738.5296438356163</v>
      </c>
      <c r="K68" s="33">
        <f t="shared" si="20"/>
        <v>68423.26324300273</v>
      </c>
    </row>
    <row r="69" spans="1:12" x14ac:dyDescent="0.3">
      <c r="A69" s="6">
        <f t="shared" si="18"/>
        <v>46232</v>
      </c>
      <c r="B69" s="33">
        <f t="shared" ref="B69:J69" si="48">IF(B34&lt;0,0,B34*B$40/365)</f>
        <v>2041.2159493150687</v>
      </c>
      <c r="C69" s="33">
        <f t="shared" si="48"/>
        <v>10209.030246575343</v>
      </c>
      <c r="D69" s="33">
        <f t="shared" si="48"/>
        <v>10645.942134246576</v>
      </c>
      <c r="E69" s="33">
        <f t="shared" si="48"/>
        <v>7892.475382257534</v>
      </c>
      <c r="F69" s="33">
        <f t="shared" si="48"/>
        <v>18456.598750684927</v>
      </c>
      <c r="G69" s="33">
        <f t="shared" si="48"/>
        <v>2539.5624657534249</v>
      </c>
      <c r="H69" s="33">
        <f t="shared" si="48"/>
        <v>3735.4997936219179</v>
      </c>
      <c r="I69" s="33">
        <f t="shared" si="48"/>
        <v>3164.4088767123289</v>
      </c>
      <c r="J69" s="33">
        <f t="shared" si="48"/>
        <v>9738.5296438356163</v>
      </c>
      <c r="K69" s="33">
        <f t="shared" si="20"/>
        <v>68423.26324300273</v>
      </c>
    </row>
    <row r="70" spans="1:12" x14ac:dyDescent="0.3">
      <c r="A70" s="6">
        <f t="shared" si="18"/>
        <v>46233</v>
      </c>
      <c r="B70" s="33">
        <f t="shared" ref="B70:J70" si="49">IF(B35&lt;0,0,B35*B$40/365)</f>
        <v>2041.2159493150687</v>
      </c>
      <c r="C70" s="33">
        <f t="shared" si="49"/>
        <v>10209.030246575343</v>
      </c>
      <c r="D70" s="33">
        <f t="shared" si="49"/>
        <v>10645.942134246576</v>
      </c>
      <c r="E70" s="33">
        <f t="shared" si="49"/>
        <v>7892.475382257534</v>
      </c>
      <c r="F70" s="33">
        <f t="shared" si="49"/>
        <v>18456.598750684927</v>
      </c>
      <c r="G70" s="33">
        <f t="shared" si="49"/>
        <v>2539.5624657534249</v>
      </c>
      <c r="H70" s="33">
        <f t="shared" si="49"/>
        <v>3735.4997936219179</v>
      </c>
      <c r="I70" s="33">
        <f t="shared" si="49"/>
        <v>3164.4088767123289</v>
      </c>
      <c r="J70" s="33">
        <f t="shared" si="49"/>
        <v>9738.5296438356163</v>
      </c>
      <c r="K70" s="33">
        <f t="shared" si="20"/>
        <v>68423.26324300273</v>
      </c>
    </row>
    <row r="71" spans="1:12" x14ac:dyDescent="0.3">
      <c r="A71" s="6">
        <f t="shared" ref="A71" si="50">A36</f>
        <v>46234</v>
      </c>
      <c r="B71" s="33">
        <f t="shared" ref="B71:J71" si="51">IF(B36&lt;0,0,B36*B$40/365)</f>
        <v>2041.2159493150687</v>
      </c>
      <c r="C71" s="33">
        <f t="shared" si="51"/>
        <v>10209.030246575343</v>
      </c>
      <c r="D71" s="33">
        <f t="shared" si="51"/>
        <v>10645.942134246576</v>
      </c>
      <c r="E71" s="33">
        <f t="shared" si="51"/>
        <v>7892.475382257534</v>
      </c>
      <c r="F71" s="33">
        <f t="shared" si="51"/>
        <v>18456.598750684927</v>
      </c>
      <c r="G71" s="33">
        <f t="shared" si="51"/>
        <v>2539.5624657534249</v>
      </c>
      <c r="H71" s="33">
        <f t="shared" si="51"/>
        <v>3735.4997936219179</v>
      </c>
      <c r="I71" s="33">
        <f t="shared" si="51"/>
        <v>3164.4088767123289</v>
      </c>
      <c r="J71" s="33">
        <f t="shared" si="51"/>
        <v>9738.5296438356163</v>
      </c>
      <c r="K71" s="33">
        <f t="shared" si="20"/>
        <v>68423.26324300273</v>
      </c>
    </row>
    <row r="72" spans="1:12" x14ac:dyDescent="0.3">
      <c r="A72" s="9" t="s">
        <v>14</v>
      </c>
      <c r="B72" s="36">
        <f t="shared" ref="B72:J72" si="52">SUM(B41:B71)</f>
        <v>63277.694428767129</v>
      </c>
      <c r="C72" s="36">
        <f t="shared" si="52"/>
        <v>316479.93764383567</v>
      </c>
      <c r="D72" s="36">
        <f t="shared" si="52"/>
        <v>330024.2061616439</v>
      </c>
      <c r="E72" s="36">
        <f t="shared" si="52"/>
        <v>244666.73684998366</v>
      </c>
      <c r="F72" s="36">
        <f t="shared" si="52"/>
        <v>572154.56127123279</v>
      </c>
      <c r="G72" s="36">
        <f t="shared" si="52"/>
        <v>78726.436438356192</v>
      </c>
      <c r="H72" s="36">
        <f t="shared" si="52"/>
        <v>115800.4936022794</v>
      </c>
      <c r="I72" s="36">
        <f t="shared" si="52"/>
        <v>98096.675178082252</v>
      </c>
      <c r="J72" s="36">
        <f t="shared" si="52"/>
        <v>301894.41895890411</v>
      </c>
      <c r="K72" s="33">
        <f t="shared" si="20"/>
        <v>2121121.160533085</v>
      </c>
    </row>
    <row r="73" spans="1:12" x14ac:dyDescent="0.3">
      <c r="A73" s="940"/>
      <c r="B73" s="940"/>
      <c r="C73" s="940"/>
      <c r="D73" s="940"/>
      <c r="E73" s="940"/>
      <c r="F73" s="940"/>
      <c r="G73" s="940"/>
      <c r="H73" s="940"/>
      <c r="I73" s="940"/>
      <c r="J73" s="940"/>
      <c r="K73" s="940"/>
    </row>
    <row r="74" spans="1:12" x14ac:dyDescent="0.3">
      <c r="A74" s="943" t="s">
        <v>73</v>
      </c>
      <c r="B74" s="943"/>
      <c r="C74" s="943"/>
      <c r="D74" s="943"/>
      <c r="E74" s="943"/>
      <c r="F74" s="943"/>
      <c r="G74" s="943"/>
      <c r="H74" s="943"/>
      <c r="I74" s="943"/>
      <c r="J74" s="943"/>
      <c r="K74" s="943"/>
    </row>
    <row r="75" spans="1:12" s="57" customFormat="1" ht="43.2" customHeight="1" x14ac:dyDescent="0.25">
      <c r="A75" s="51" t="s">
        <v>18</v>
      </c>
      <c r="B75" s="73" t="str">
        <f t="shared" ref="B75:J75" si="53">B5</f>
        <v>LD2601400210
 (C.D 13.01.2026, M.D 12.07.2026)</v>
      </c>
      <c r="C75" s="73" t="str">
        <f t="shared" si="53"/>
        <v>LD2603500176
 (C.D 02.02.2026, M.D 01.08.2026)</v>
      </c>
      <c r="D75" s="73" t="str">
        <f t="shared" si="53"/>
        <v>LD2603500175
 (C.D 02.02.2026, M.D 01.08.2026)</v>
      </c>
      <c r="E75" s="73" t="str">
        <f t="shared" si="53"/>
        <v>LD2606500224/27/2931/32
 (C.D 04.03.2026, M.D 31.08.2026)</v>
      </c>
      <c r="F75" s="73" t="str">
        <f t="shared" si="53"/>
        <v>LD2610000177
 (C.D 08.04.2026, M.D 05.10.2026)</v>
      </c>
      <c r="G75" s="73" t="str">
        <f t="shared" si="53"/>
        <v>LD2610700262
 (C.D 15.04.2026, M.D 12.10.2026)</v>
      </c>
      <c r="H75" s="73" t="str">
        <f t="shared" si="53"/>
        <v>LD2612800495
 (C.D 07.05.2026, M.D 03.11.2026)</v>
      </c>
      <c r="I75" s="73" t="str">
        <f t="shared" si="53"/>
        <v>LD2618100442
 (C.D 23.06.2026, M.D 20.12.2026)</v>
      </c>
      <c r="J75" s="73" t="str">
        <f t="shared" si="53"/>
        <v>LD2618100443
 (C.D 23.06.2026, M.D 20.12.2026)</v>
      </c>
      <c r="K75" s="73" t="s">
        <v>0</v>
      </c>
    </row>
    <row r="76" spans="1:12" x14ac:dyDescent="0.3">
      <c r="A76" s="11" t="s">
        <v>15</v>
      </c>
      <c r="B76" s="304">
        <v>344965.49543424661</v>
      </c>
      <c r="C76" s="304">
        <v>1521145.5067397263</v>
      </c>
      <c r="D76" s="304">
        <v>1586245.37800274</v>
      </c>
      <c r="E76" s="304">
        <v>939204.57048864686</v>
      </c>
      <c r="F76" s="304">
        <v>1550354.2950575342</v>
      </c>
      <c r="G76" s="304">
        <v>195546.30986301377</v>
      </c>
      <c r="H76" s="304">
        <v>205452.48864920539</v>
      </c>
      <c r="I76" s="304">
        <v>25315.271013698632</v>
      </c>
      <c r="J76" s="304">
        <v>77908.23715068493</v>
      </c>
      <c r="K76" s="309">
        <f>SUM(B76:J76)</f>
        <v>6446137.5523994965</v>
      </c>
      <c r="L76" s="582"/>
    </row>
    <row r="77" spans="1:12" x14ac:dyDescent="0.3">
      <c r="A77" s="11" t="s">
        <v>16</v>
      </c>
      <c r="B77" s="304">
        <f t="shared" ref="B77:E77" si="54">B72</f>
        <v>63277.694428767129</v>
      </c>
      <c r="C77" s="304">
        <f t="shared" si="54"/>
        <v>316479.93764383567</v>
      </c>
      <c r="D77" s="304">
        <f t="shared" si="54"/>
        <v>330024.2061616439</v>
      </c>
      <c r="E77" s="304">
        <f t="shared" si="54"/>
        <v>244666.73684998366</v>
      </c>
      <c r="F77" s="304">
        <f>F72</f>
        <v>572154.56127123279</v>
      </c>
      <c r="G77" s="304">
        <f>G72</f>
        <v>78726.436438356192</v>
      </c>
      <c r="H77" s="304">
        <f>H72</f>
        <v>115800.4936022794</v>
      </c>
      <c r="I77" s="304">
        <f>I72</f>
        <v>98096.675178082252</v>
      </c>
      <c r="J77" s="304">
        <f>J72</f>
        <v>301894.41895890411</v>
      </c>
      <c r="K77" s="309">
        <f>SUM(B77:J77)</f>
        <v>2121121.160533085</v>
      </c>
    </row>
    <row r="78" spans="1:12" x14ac:dyDescent="0.3">
      <c r="A78" s="11" t="s">
        <v>26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309">
        <f>SUM(B78:J78)</f>
        <v>0</v>
      </c>
    </row>
    <row r="79" spans="1:12" x14ac:dyDescent="0.3">
      <c r="A79" s="11" t="s">
        <v>14</v>
      </c>
      <c r="B79" s="304">
        <f t="shared" ref="B79:E79" si="55">SUM(B76:B78)</f>
        <v>408243.18986301374</v>
      </c>
      <c r="C79" s="304">
        <f t="shared" si="55"/>
        <v>1837625.4443835621</v>
      </c>
      <c r="D79" s="304">
        <f t="shared" si="55"/>
        <v>1916269.5841643838</v>
      </c>
      <c r="E79" s="304">
        <f t="shared" si="55"/>
        <v>1183871.3073386305</v>
      </c>
      <c r="F79" s="304">
        <f>SUM(F76:F78)</f>
        <v>2122508.8563287668</v>
      </c>
      <c r="G79" s="304">
        <f>SUM(G76:G78)</f>
        <v>274272.74630136997</v>
      </c>
      <c r="H79" s="304">
        <f>SUM(H76:H78)</f>
        <v>321252.98225148476</v>
      </c>
      <c r="I79" s="304">
        <f>SUM(I76:I78)</f>
        <v>123411.94619178088</v>
      </c>
      <c r="J79" s="304">
        <f>SUM(J76:J78)</f>
        <v>379802.65610958904</v>
      </c>
      <c r="K79" s="309">
        <f>SUM(B79:J79)</f>
        <v>8567258.7129325811</v>
      </c>
    </row>
    <row r="80" spans="1:12" x14ac:dyDescent="0.3">
      <c r="A80" s="939"/>
      <c r="B80" s="939"/>
      <c r="C80" s="939"/>
      <c r="D80" s="939"/>
      <c r="E80" s="939"/>
      <c r="F80" s="939"/>
      <c r="G80" s="939"/>
      <c r="H80" s="939"/>
      <c r="I80" s="939"/>
      <c r="J80" s="939"/>
      <c r="K80" s="939"/>
    </row>
    <row r="81" spans="1:12" ht="17.399999999999999" x14ac:dyDescent="0.3">
      <c r="A81" s="12" t="s">
        <v>30</v>
      </c>
      <c r="B81" s="349"/>
      <c r="C81" s="349"/>
      <c r="D81" s="349"/>
      <c r="E81" s="349"/>
      <c r="F81" s="349"/>
      <c r="G81" s="349"/>
      <c r="H81" s="349"/>
      <c r="I81" s="349"/>
      <c r="J81" s="349"/>
      <c r="K81" s="151">
        <f>SUM(B81:J81)</f>
        <v>0</v>
      </c>
      <c r="L81" s="707"/>
    </row>
    <row r="82" spans="1:12" x14ac:dyDescent="0.3">
      <c r="A82" s="1004"/>
      <c r="B82" s="1004"/>
      <c r="C82" s="1004"/>
      <c r="D82" s="1004"/>
      <c r="E82" s="1004"/>
      <c r="F82" s="1004"/>
      <c r="G82" s="1004"/>
      <c r="H82" s="1004"/>
      <c r="I82" s="1004"/>
      <c r="J82" s="1004"/>
      <c r="K82" s="1004"/>
    </row>
    <row r="83" spans="1:12" x14ac:dyDescent="0.3">
      <c r="A83" s="12" t="s">
        <v>4</v>
      </c>
      <c r="B83" s="349"/>
      <c r="C83" s="349"/>
      <c r="D83" s="349"/>
      <c r="E83" s="349"/>
      <c r="F83" s="349"/>
      <c r="G83" s="349"/>
      <c r="H83" s="349"/>
      <c r="I83" s="349"/>
      <c r="J83" s="349"/>
      <c r="K83" s="37">
        <v>0</v>
      </c>
    </row>
    <row r="84" spans="1:12" x14ac:dyDescent="0.3">
      <c r="A84" s="940"/>
      <c r="B84" s="940"/>
      <c r="C84" s="940"/>
      <c r="D84" s="940"/>
      <c r="E84" s="940"/>
      <c r="F84" s="940"/>
      <c r="G84" s="940"/>
      <c r="H84" s="940"/>
      <c r="I84" s="940"/>
      <c r="J84" s="940"/>
      <c r="K84" s="940"/>
    </row>
    <row r="85" spans="1:12" x14ac:dyDescent="0.3">
      <c r="A85" s="28" t="s">
        <v>17</v>
      </c>
      <c r="B85" s="38">
        <f t="shared" ref="B85:E85" si="56">B72+B78+B83</f>
        <v>63277.694428767129</v>
      </c>
      <c r="C85" s="38">
        <f t="shared" si="56"/>
        <v>316479.93764383567</v>
      </c>
      <c r="D85" s="38">
        <f t="shared" si="56"/>
        <v>330024.2061616439</v>
      </c>
      <c r="E85" s="38">
        <f t="shared" si="56"/>
        <v>244666.73684998366</v>
      </c>
      <c r="F85" s="38">
        <f>F72+F78+F83</f>
        <v>572154.56127123279</v>
      </c>
      <c r="G85" s="38">
        <f>G72+G78+G83</f>
        <v>78726.436438356192</v>
      </c>
      <c r="H85" s="38">
        <f>H72+H78+H83</f>
        <v>115800.4936022794</v>
      </c>
      <c r="I85" s="38">
        <f>I72+I78+I83</f>
        <v>98096.675178082252</v>
      </c>
      <c r="J85" s="38">
        <f>J72+J78+J83</f>
        <v>301894.41895890411</v>
      </c>
      <c r="K85" s="38">
        <f>SUM(B85:J85)</f>
        <v>2121121.160533085</v>
      </c>
    </row>
    <row r="86" spans="1:12" x14ac:dyDescent="0.3">
      <c r="A86" s="940"/>
      <c r="B86" s="940"/>
      <c r="C86" s="940"/>
      <c r="D86" s="940"/>
      <c r="E86" s="940"/>
      <c r="F86" s="940"/>
      <c r="G86" s="940"/>
      <c r="H86" s="940"/>
      <c r="I86" s="940"/>
      <c r="J86" s="940"/>
      <c r="K86" s="940"/>
    </row>
    <row r="87" spans="1:12" x14ac:dyDescent="0.3">
      <c r="A87" s="99" t="s">
        <v>31</v>
      </c>
      <c r="B87" s="108">
        <f t="shared" ref="B87:E87" si="57">B79+B83-B81</f>
        <v>408243.18986301374</v>
      </c>
      <c r="C87" s="108">
        <f t="shared" si="57"/>
        <v>1837625.4443835621</v>
      </c>
      <c r="D87" s="108">
        <f t="shared" si="57"/>
        <v>1916269.5841643838</v>
      </c>
      <c r="E87" s="108">
        <f t="shared" si="57"/>
        <v>1183871.3073386305</v>
      </c>
      <c r="F87" s="108">
        <f>F79+F83-F81</f>
        <v>2122508.8563287668</v>
      </c>
      <c r="G87" s="108">
        <f>G79+G83-G81</f>
        <v>274272.74630136997</v>
      </c>
      <c r="H87" s="108">
        <f>H79+H83-H81</f>
        <v>321252.98225148476</v>
      </c>
      <c r="I87" s="108">
        <f>I79+I83-I81</f>
        <v>123411.94619178088</v>
      </c>
      <c r="J87" s="108">
        <f>J79+J83-J81</f>
        <v>379802.65610958904</v>
      </c>
      <c r="K87" s="108">
        <f>K79+K83-K81-K80</f>
        <v>8567258.7129325811</v>
      </c>
    </row>
    <row r="88" spans="1:12" x14ac:dyDescent="0.3">
      <c r="A88" s="322" t="s">
        <v>254</v>
      </c>
      <c r="B88" s="399">
        <v>30000834</v>
      </c>
      <c r="C88" s="399">
        <v>30000860</v>
      </c>
      <c r="D88" s="399">
        <v>30000860</v>
      </c>
      <c r="E88" s="399">
        <v>30000874</v>
      </c>
      <c r="F88" s="399">
        <v>30000884</v>
      </c>
      <c r="G88" s="399">
        <v>30000885</v>
      </c>
      <c r="H88" s="399">
        <v>30000889</v>
      </c>
      <c r="I88" s="321">
        <v>30000915</v>
      </c>
      <c r="J88" s="321">
        <v>30000915</v>
      </c>
    </row>
    <row r="90" spans="1:12" x14ac:dyDescent="0.3">
      <c r="L90" s="83"/>
    </row>
    <row r="91" spans="1:12" x14ac:dyDescent="0.3">
      <c r="A91" s="318" t="s">
        <v>265</v>
      </c>
      <c r="B91" s="399">
        <v>9200000010</v>
      </c>
      <c r="L91" s="83"/>
    </row>
    <row r="92" spans="1:12" x14ac:dyDescent="0.3">
      <c r="A92" s="318" t="s">
        <v>266</v>
      </c>
      <c r="B92" s="399">
        <v>40000005</v>
      </c>
      <c r="L92" s="83"/>
    </row>
    <row r="93" spans="1:12" x14ac:dyDescent="0.3">
      <c r="L93" s="83"/>
    </row>
    <row r="94" spans="1:12" x14ac:dyDescent="0.3">
      <c r="L94" s="83"/>
    </row>
    <row r="95" spans="1:12" x14ac:dyDescent="0.3">
      <c r="L95" s="83"/>
    </row>
    <row r="96" spans="1:12" x14ac:dyDescent="0.3">
      <c r="L96" s="579"/>
    </row>
    <row r="98" spans="12:13" x14ac:dyDescent="0.3">
      <c r="L98" s="83"/>
    </row>
    <row r="100" spans="12:13" x14ac:dyDescent="0.3">
      <c r="L100" s="83"/>
    </row>
    <row r="101" spans="12:13" x14ac:dyDescent="0.3">
      <c r="L101" s="83"/>
    </row>
    <row r="102" spans="12:13" x14ac:dyDescent="0.3">
      <c r="L102" s="83"/>
    </row>
    <row r="103" spans="12:13" x14ac:dyDescent="0.3">
      <c r="L103" s="83"/>
    </row>
    <row r="104" spans="12:13" x14ac:dyDescent="0.3">
      <c r="L104" s="579"/>
      <c r="M104" s="83"/>
    </row>
    <row r="107" spans="12:13" x14ac:dyDescent="0.3">
      <c r="L107" s="83"/>
    </row>
    <row r="108" spans="12:13" x14ac:dyDescent="0.3">
      <c r="L108" s="83"/>
    </row>
    <row r="109" spans="12:13" x14ac:dyDescent="0.3">
      <c r="L109" s="83"/>
    </row>
    <row r="110" spans="12:13" x14ac:dyDescent="0.3">
      <c r="L110" s="83"/>
    </row>
    <row r="111" spans="12:13" x14ac:dyDescent="0.3">
      <c r="L111" s="83"/>
    </row>
    <row r="112" spans="12:13" x14ac:dyDescent="0.3">
      <c r="L112" s="83"/>
    </row>
    <row r="113" spans="12:12" x14ac:dyDescent="0.3">
      <c r="L113" s="579"/>
    </row>
  </sheetData>
  <mergeCells count="10">
    <mergeCell ref="A1:K1"/>
    <mergeCell ref="A3:K3"/>
    <mergeCell ref="A4:K4"/>
    <mergeCell ref="A38:K38"/>
    <mergeCell ref="A86:K86"/>
    <mergeCell ref="A73:K73"/>
    <mergeCell ref="A74:K74"/>
    <mergeCell ref="A80:K80"/>
    <mergeCell ref="A82:K82"/>
    <mergeCell ref="A84:K84"/>
  </mergeCells>
  <phoneticPr fontId="22" type="noConversion"/>
  <pageMargins left="0.70866141732283472" right="0.70866141732283472" top="0.74803149606299213" bottom="0.74803149606299213" header="0.31496062992125984" footer="0.31496062992125984"/>
  <pageSetup scale="4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780A-AACC-4DC0-BF2A-BE30BE7EBD16}">
  <sheetPr>
    <pageSetUpPr fitToPage="1"/>
  </sheetPr>
  <dimension ref="A1:C50"/>
  <sheetViews>
    <sheetView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19.7265625" bestFit="1" customWidth="1"/>
    <col min="2" max="2" width="16.6328125" customWidth="1"/>
  </cols>
  <sheetData>
    <row r="1" spans="1:2" x14ac:dyDescent="0.25">
      <c r="A1" s="444"/>
      <c r="B1" s="445"/>
    </row>
    <row r="2" spans="1:2" ht="15.6" x14ac:dyDescent="0.3">
      <c r="A2" s="446" t="s">
        <v>208</v>
      </c>
      <c r="B2" s="447"/>
    </row>
    <row r="3" spans="1:2" ht="15.6" x14ac:dyDescent="0.3">
      <c r="A3" s="446" t="s">
        <v>74</v>
      </c>
      <c r="B3" s="447"/>
    </row>
    <row r="4" spans="1:2" ht="15.6" x14ac:dyDescent="0.3">
      <c r="A4" s="448">
        <v>46188</v>
      </c>
      <c r="B4" s="449"/>
    </row>
    <row r="5" spans="1:2" ht="15.6" x14ac:dyDescent="0.25">
      <c r="A5" s="450" t="s">
        <v>182</v>
      </c>
      <c r="B5" s="451" t="s">
        <v>311</v>
      </c>
    </row>
    <row r="6" spans="1:2" ht="13.2" customHeight="1" x14ac:dyDescent="0.25">
      <c r="A6" s="452"/>
      <c r="B6" s="453"/>
    </row>
    <row r="7" spans="1:2" ht="25.05" customHeight="1" x14ac:dyDescent="0.25">
      <c r="A7" s="454" t="s">
        <v>183</v>
      </c>
      <c r="B7" s="474">
        <f>'BORROWING SUMMARY'!S10/1000000</f>
        <v>859.03309200000001</v>
      </c>
    </row>
    <row r="8" spans="1:2" ht="25.05" hidden="1" customHeight="1" x14ac:dyDescent="0.25">
      <c r="A8" s="455" t="s">
        <v>184</v>
      </c>
      <c r="B8" s="473">
        <f>'USANCE LC SHEET '!M222/1000000</f>
        <v>16.909987140163974</v>
      </c>
    </row>
    <row r="9" spans="1:2" ht="25.05" hidden="1" customHeight="1" x14ac:dyDescent="0.25">
      <c r="A9" s="455" t="s">
        <v>185</v>
      </c>
      <c r="B9" s="473">
        <f>'USANCE LC SHEET '!Q222/1000000</f>
        <v>18.276367490163928</v>
      </c>
    </row>
    <row r="10" spans="1:2" ht="31.2" x14ac:dyDescent="0.25">
      <c r="A10" s="455" t="s">
        <v>307</v>
      </c>
      <c r="B10" s="474">
        <f>B9-B8</f>
        <v>1.3663803499999538</v>
      </c>
    </row>
    <row r="11" spans="1:2" ht="13.2" customHeight="1" x14ac:dyDescent="0.25">
      <c r="A11" s="484"/>
      <c r="B11" s="485"/>
    </row>
    <row r="12" spans="1:2" ht="15.6" hidden="1" x14ac:dyDescent="0.25">
      <c r="A12" s="457" t="s">
        <v>228</v>
      </c>
      <c r="B12" s="467">
        <v>3400</v>
      </c>
    </row>
    <row r="13" spans="1:2" ht="15.6" hidden="1" x14ac:dyDescent="0.25">
      <c r="A13" s="457" t="s">
        <v>227</v>
      </c>
      <c r="B13" s="467">
        <v>0</v>
      </c>
    </row>
    <row r="14" spans="1:2" ht="25.05" customHeight="1" x14ac:dyDescent="0.25">
      <c r="A14" s="457" t="s">
        <v>306</v>
      </c>
      <c r="B14" s="467">
        <f>'BORROWING SUMMARY'!S8/1000000</f>
        <v>6450</v>
      </c>
    </row>
    <row r="15" spans="1:2" ht="25.05" customHeight="1" x14ac:dyDescent="0.25">
      <c r="A15" s="457" t="s">
        <v>229</v>
      </c>
      <c r="B15" s="550">
        <f>'BORROWING SUMMARY'!S9/1000000+'BORROWING SUMMARY'!R11/1000000</f>
        <v>678.05431859999999</v>
      </c>
    </row>
    <row r="16" spans="1:2" ht="25.05" customHeight="1" x14ac:dyDescent="0.25">
      <c r="A16" s="457" t="s">
        <v>230</v>
      </c>
      <c r="B16" s="550">
        <f>B7</f>
        <v>859.03309200000001</v>
      </c>
    </row>
    <row r="17" spans="1:2" s="253" customFormat="1" ht="25.05" customHeight="1" x14ac:dyDescent="0.25">
      <c r="A17" s="457" t="s">
        <v>231</v>
      </c>
      <c r="B17" s="475">
        <f>B14-B15-B20-B16</f>
        <v>3134.9872185600002</v>
      </c>
    </row>
    <row r="18" spans="1:2" s="253" customFormat="1" ht="14.4" customHeight="1" x14ac:dyDescent="0.25">
      <c r="A18" s="486"/>
      <c r="B18" s="458"/>
    </row>
    <row r="19" spans="1:2" ht="25.05" customHeight="1" x14ac:dyDescent="0.25">
      <c r="A19" s="459" t="s">
        <v>186</v>
      </c>
      <c r="B19" s="549">
        <f>'BORROWING SUMMARY'!S15/1000000</f>
        <v>5800</v>
      </c>
    </row>
    <row r="20" spans="1:2" ht="25.05" customHeight="1" x14ac:dyDescent="0.25">
      <c r="A20" s="459" t="s">
        <v>187</v>
      </c>
      <c r="B20" s="476">
        <f>'BORROWING SUMMARY'!S16/1000000</f>
        <v>1777.9253708400001</v>
      </c>
    </row>
    <row r="21" spans="1:2" ht="25.05" customHeight="1" x14ac:dyDescent="0.25">
      <c r="A21" s="456"/>
      <c r="B21" s="466"/>
    </row>
    <row r="22" spans="1:2" ht="25.05" hidden="1" customHeight="1" thickBot="1" x14ac:dyDescent="0.3">
      <c r="A22" s="460" t="s">
        <v>188</v>
      </c>
      <c r="B22" s="468">
        <v>0</v>
      </c>
    </row>
    <row r="23" spans="1:2" ht="19.8" hidden="1" customHeight="1" thickBot="1" x14ac:dyDescent="0.3">
      <c r="A23" s="460" t="s">
        <v>189</v>
      </c>
      <c r="B23" s="469">
        <v>0</v>
      </c>
    </row>
    <row r="24" spans="1:2" ht="19.8" hidden="1" customHeight="1" thickBot="1" x14ac:dyDescent="0.3">
      <c r="A24" s="460" t="s">
        <v>190</v>
      </c>
      <c r="B24" s="469">
        <v>0</v>
      </c>
    </row>
    <row r="25" spans="1:2" ht="21.6" hidden="1" customHeight="1" thickBot="1" x14ac:dyDescent="0.3">
      <c r="A25" s="460" t="s">
        <v>191</v>
      </c>
      <c r="B25" s="469">
        <f>B23+B24</f>
        <v>0</v>
      </c>
    </row>
    <row r="26" spans="1:2" ht="13.2" customHeight="1" x14ac:dyDescent="0.25">
      <c r="A26" s="484"/>
      <c r="B26" s="485"/>
    </row>
    <row r="27" spans="1:2" ht="15.6" x14ac:dyDescent="0.25">
      <c r="A27" s="461" t="s">
        <v>192</v>
      </c>
      <c r="B27" s="474">
        <f>'BORROWING SUMMARY'!S21/1000000</f>
        <v>1655</v>
      </c>
    </row>
    <row r="28" spans="1:2" ht="15.6" x14ac:dyDescent="0.25">
      <c r="A28" s="461" t="s">
        <v>210</v>
      </c>
      <c r="B28" s="473">
        <f>'BORROWING SUMMARY'!S22/1000000</f>
        <v>893.51567243</v>
      </c>
    </row>
    <row r="29" spans="1:2" ht="15.6" x14ac:dyDescent="0.25">
      <c r="A29" s="461" t="s">
        <v>211</v>
      </c>
      <c r="B29" s="473">
        <f>B27-B28</f>
        <v>761.48432757</v>
      </c>
    </row>
    <row r="30" spans="1:2" ht="14.4" customHeight="1" x14ac:dyDescent="0.25">
      <c r="A30" s="461"/>
      <c r="B30" s="470"/>
    </row>
    <row r="31" spans="1:2" ht="15.6" x14ac:dyDescent="0.25">
      <c r="A31" s="461" t="s">
        <v>193</v>
      </c>
      <c r="B31" s="471"/>
    </row>
    <row r="32" spans="1:2" ht="12.6" customHeight="1" x14ac:dyDescent="0.25">
      <c r="A32" s="478"/>
      <c r="B32" s="483"/>
    </row>
    <row r="33" spans="1:3" ht="15.6" x14ac:dyDescent="0.25">
      <c r="A33" s="461" t="s">
        <v>194</v>
      </c>
      <c r="B33" s="473">
        <f>'FINANCIAL COST SUMMARY'!H35/1000000/30*15</f>
        <v>13.280582683577871</v>
      </c>
    </row>
    <row r="34" spans="1:3" ht="12.6" customHeight="1" x14ac:dyDescent="0.25">
      <c r="A34" s="461"/>
      <c r="B34" s="477"/>
    </row>
    <row r="35" spans="1:3" ht="25.2" customHeight="1" x14ac:dyDescent="0.25">
      <c r="A35" s="540" t="s">
        <v>234</v>
      </c>
      <c r="B35" s="472">
        <f>B37</f>
        <v>0</v>
      </c>
    </row>
    <row r="36" spans="1:3" ht="12.6" customHeight="1" x14ac:dyDescent="0.25">
      <c r="A36" s="478"/>
      <c r="B36" s="482"/>
    </row>
    <row r="37" spans="1:3" ht="15.6" x14ac:dyDescent="0.25">
      <c r="A37" s="461" t="s">
        <v>232</v>
      </c>
      <c r="B37" s="473">
        <f>'INFLOW-OUTFLOW SUMMARY'!B41/1000000</f>
        <v>0</v>
      </c>
    </row>
    <row r="38" spans="1:3" ht="15.6" x14ac:dyDescent="0.25">
      <c r="A38" s="461" t="s">
        <v>233</v>
      </c>
      <c r="B38" s="473">
        <f>'INFLOW-OUTFLOW SUMMARY'!D41/1000000</f>
        <v>0</v>
      </c>
    </row>
    <row r="39" spans="1:3" ht="12.6" customHeight="1" x14ac:dyDescent="0.25">
      <c r="A39" s="478"/>
      <c r="B39" s="479"/>
    </row>
    <row r="40" spans="1:3" ht="15.6" x14ac:dyDescent="0.25">
      <c r="A40" s="461" t="s">
        <v>195</v>
      </c>
      <c r="B40" s="644">
        <v>1474.5681399999999</v>
      </c>
      <c r="C40" s="83"/>
    </row>
    <row r="41" spans="1:3" ht="15.6" x14ac:dyDescent="0.25">
      <c r="A41" s="461" t="s">
        <v>196</v>
      </c>
      <c r="B41" s="644">
        <v>540.54640000000006</v>
      </c>
      <c r="C41" s="83"/>
    </row>
    <row r="42" spans="1:3" ht="15.6" x14ac:dyDescent="0.25">
      <c r="A42" s="461" t="s">
        <v>197</v>
      </c>
      <c r="B42" s="644">
        <v>2756.2612100000001</v>
      </c>
      <c r="C42" s="83"/>
    </row>
    <row r="43" spans="1:3" ht="15.6" x14ac:dyDescent="0.25">
      <c r="A43" s="461" t="s">
        <v>135</v>
      </c>
      <c r="B43" s="474">
        <f>SUM(B40:B42)</f>
        <v>4771.3757500000002</v>
      </c>
    </row>
    <row r="44" spans="1:3" ht="12.6" customHeight="1" x14ac:dyDescent="0.25">
      <c r="A44" s="480"/>
      <c r="B44" s="481"/>
    </row>
    <row r="45" spans="1:3" ht="15.6" x14ac:dyDescent="0.25">
      <c r="A45" s="763" t="s">
        <v>328</v>
      </c>
      <c r="B45" s="462" t="s">
        <v>401</v>
      </c>
    </row>
    <row r="46" spans="1:3" ht="15.6" x14ac:dyDescent="0.25">
      <c r="A46" s="763" t="s">
        <v>329</v>
      </c>
      <c r="B46" s="463">
        <v>279.8</v>
      </c>
    </row>
    <row r="47" spans="1:3" ht="15.6" x14ac:dyDescent="0.25">
      <c r="A47" s="763" t="s">
        <v>328</v>
      </c>
      <c r="B47" s="462" t="s">
        <v>402</v>
      </c>
    </row>
    <row r="48" spans="1:3" ht="15.6" x14ac:dyDescent="0.25">
      <c r="A48" s="763" t="s">
        <v>329</v>
      </c>
      <c r="B48" s="464">
        <v>321.51</v>
      </c>
    </row>
    <row r="49" spans="1:2" ht="15.6" x14ac:dyDescent="0.25">
      <c r="A49" s="763" t="s">
        <v>328</v>
      </c>
      <c r="B49" s="462" t="s">
        <v>403</v>
      </c>
    </row>
    <row r="50" spans="1:2" ht="16.2" thickBot="1" x14ac:dyDescent="0.3">
      <c r="A50" s="764" t="s">
        <v>329</v>
      </c>
      <c r="B50" s="465">
        <v>41.09</v>
      </c>
    </row>
  </sheetData>
  <pageMargins left="0.70866141732283472" right="0.70866141732283472" top="0.74803149606299213" bottom="0.74803149606299213" header="0.31496062992125984" footer="0.31496062992125984"/>
  <pageSetup scale="9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774D-8941-497D-803A-077B249DB131}">
  <sheetPr>
    <tabColor theme="0"/>
    <pageSetUpPr fitToPage="1"/>
  </sheetPr>
  <dimension ref="A1:J93"/>
  <sheetViews>
    <sheetView view="pageBreakPreview" topLeftCell="A73" zoomScaleNormal="55" zoomScaleSheetLayoutView="100" workbookViewId="0">
      <selection activeCell="B76" sqref="B76"/>
    </sheetView>
  </sheetViews>
  <sheetFormatPr defaultRowHeight="15.6" x14ac:dyDescent="0.3"/>
  <cols>
    <col min="1" max="1" width="15.90625" style="3" customWidth="1"/>
    <col min="2" max="2" width="14.453125" style="331" customWidth="1"/>
    <col min="3" max="3" width="11.6328125" style="3" customWidth="1"/>
    <col min="4" max="4" width="18.6328125" bestFit="1" customWidth="1"/>
    <col min="5" max="5" width="9.1796875" bestFit="1" customWidth="1"/>
    <col min="6" max="6" width="9.90625" bestFit="1" customWidth="1"/>
    <col min="8" max="8" width="13.81640625" bestFit="1" customWidth="1"/>
    <col min="9" max="9" width="12.453125" bestFit="1" customWidth="1"/>
    <col min="10" max="10" width="11.1796875" bestFit="1" customWidth="1"/>
  </cols>
  <sheetData>
    <row r="1" spans="1:6" ht="18" x14ac:dyDescent="0.35">
      <c r="A1" s="941" t="s">
        <v>35</v>
      </c>
      <c r="B1" s="941"/>
      <c r="C1" s="941"/>
    </row>
    <row r="2" spans="1:6" ht="18.600000000000001" thickBot="1" x14ac:dyDescent="0.4">
      <c r="A2" s="47" t="s">
        <v>310</v>
      </c>
      <c r="B2" s="401"/>
      <c r="C2" s="27">
        <f>'FINANCIAL COST SUMMARY'!K2</f>
        <v>46204</v>
      </c>
    </row>
    <row r="3" spans="1:6" x14ac:dyDescent="0.3">
      <c r="A3" s="942"/>
      <c r="B3" s="942"/>
      <c r="C3" s="942"/>
    </row>
    <row r="4" spans="1:6" x14ac:dyDescent="0.3">
      <c r="A4" s="943" t="s">
        <v>19</v>
      </c>
      <c r="B4" s="943"/>
      <c r="C4" s="943"/>
    </row>
    <row r="5" spans="1:6" s="74" customFormat="1" ht="41.4" x14ac:dyDescent="0.25">
      <c r="A5" s="51" t="s">
        <v>2</v>
      </c>
      <c r="B5" s="637" t="s">
        <v>413</v>
      </c>
      <c r="C5" s="73" t="s">
        <v>0</v>
      </c>
    </row>
    <row r="6" spans="1:6" x14ac:dyDescent="0.3">
      <c r="A6" s="6">
        <v>46204</v>
      </c>
      <c r="B6" s="359">
        <f t="shared" ref="B6:B27" si="0">69930*279</f>
        <v>19510470</v>
      </c>
      <c r="C6" s="59">
        <f t="shared" ref="C6:C36" si="1">SUM(B6:B6)</f>
        <v>19510470</v>
      </c>
      <c r="D6" s="104">
        <v>46196</v>
      </c>
      <c r="E6" s="105">
        <v>90</v>
      </c>
      <c r="F6" s="104">
        <f>D6+E6</f>
        <v>46286</v>
      </c>
    </row>
    <row r="7" spans="1:6" x14ac:dyDescent="0.3">
      <c r="A7" s="6">
        <f>+A6+1</f>
        <v>46205</v>
      </c>
      <c r="B7" s="359">
        <f t="shared" si="0"/>
        <v>19510470</v>
      </c>
      <c r="C7" s="59">
        <f t="shared" si="1"/>
        <v>19510470</v>
      </c>
    </row>
    <row r="8" spans="1:6" x14ac:dyDescent="0.3">
      <c r="A8" s="6">
        <f t="shared" ref="A8:A36" si="2">+A7+1</f>
        <v>46206</v>
      </c>
      <c r="B8" s="359">
        <f t="shared" si="0"/>
        <v>19510470</v>
      </c>
      <c r="C8" s="59">
        <f t="shared" si="1"/>
        <v>19510470</v>
      </c>
    </row>
    <row r="9" spans="1:6" ht="16.2" customHeight="1" x14ac:dyDescent="0.3">
      <c r="A9" s="6">
        <f t="shared" si="2"/>
        <v>46207</v>
      </c>
      <c r="B9" s="359">
        <f t="shared" si="0"/>
        <v>19510470</v>
      </c>
      <c r="C9" s="59">
        <f t="shared" si="1"/>
        <v>19510470</v>
      </c>
    </row>
    <row r="10" spans="1:6" x14ac:dyDescent="0.3">
      <c r="A10" s="6">
        <f t="shared" si="2"/>
        <v>46208</v>
      </c>
      <c r="B10" s="359">
        <f t="shared" si="0"/>
        <v>19510470</v>
      </c>
      <c r="C10" s="59">
        <f t="shared" si="1"/>
        <v>19510470</v>
      </c>
    </row>
    <row r="11" spans="1:6" x14ac:dyDescent="0.3">
      <c r="A11" s="6">
        <f t="shared" si="2"/>
        <v>46209</v>
      </c>
      <c r="B11" s="359">
        <f t="shared" si="0"/>
        <v>19510470</v>
      </c>
      <c r="C11" s="59">
        <f t="shared" si="1"/>
        <v>19510470</v>
      </c>
    </row>
    <row r="12" spans="1:6" x14ac:dyDescent="0.3">
      <c r="A12" s="6">
        <f t="shared" si="2"/>
        <v>46210</v>
      </c>
      <c r="B12" s="359">
        <f t="shared" si="0"/>
        <v>19510470</v>
      </c>
      <c r="C12" s="59">
        <f t="shared" si="1"/>
        <v>19510470</v>
      </c>
    </row>
    <row r="13" spans="1:6" x14ac:dyDescent="0.3">
      <c r="A13" s="6">
        <f t="shared" si="2"/>
        <v>46211</v>
      </c>
      <c r="B13" s="359">
        <f t="shared" si="0"/>
        <v>19510470</v>
      </c>
      <c r="C13" s="59">
        <f t="shared" si="1"/>
        <v>19510470</v>
      </c>
    </row>
    <row r="14" spans="1:6" x14ac:dyDescent="0.3">
      <c r="A14" s="6">
        <f t="shared" si="2"/>
        <v>46212</v>
      </c>
      <c r="B14" s="359">
        <f t="shared" si="0"/>
        <v>19510470</v>
      </c>
      <c r="C14" s="59">
        <f t="shared" si="1"/>
        <v>19510470</v>
      </c>
    </row>
    <row r="15" spans="1:6" s="513" customFormat="1" x14ac:dyDescent="0.3">
      <c r="A15" s="315">
        <f t="shared" si="2"/>
        <v>46213</v>
      </c>
      <c r="B15" s="359">
        <f t="shared" si="0"/>
        <v>19510470</v>
      </c>
      <c r="C15" s="59">
        <f t="shared" si="1"/>
        <v>19510470</v>
      </c>
    </row>
    <row r="16" spans="1:6" x14ac:dyDescent="0.3">
      <c r="A16" s="315">
        <f t="shared" si="2"/>
        <v>46214</v>
      </c>
      <c r="B16" s="359">
        <f t="shared" si="0"/>
        <v>19510470</v>
      </c>
      <c r="C16" s="59">
        <f t="shared" si="1"/>
        <v>19510470</v>
      </c>
    </row>
    <row r="17" spans="1:8" x14ac:dyDescent="0.3">
      <c r="A17" s="315">
        <f t="shared" si="2"/>
        <v>46215</v>
      </c>
      <c r="B17" s="359">
        <f t="shared" si="0"/>
        <v>19510470</v>
      </c>
      <c r="C17" s="59">
        <f t="shared" si="1"/>
        <v>19510470</v>
      </c>
    </row>
    <row r="18" spans="1:8" x14ac:dyDescent="0.3">
      <c r="A18" s="315">
        <f t="shared" si="2"/>
        <v>46216</v>
      </c>
      <c r="B18" s="359">
        <f t="shared" si="0"/>
        <v>19510470</v>
      </c>
      <c r="C18" s="59">
        <f t="shared" si="1"/>
        <v>19510470</v>
      </c>
    </row>
    <row r="19" spans="1:8" x14ac:dyDescent="0.3">
      <c r="A19" s="315">
        <f t="shared" si="2"/>
        <v>46217</v>
      </c>
      <c r="B19" s="359">
        <f t="shared" si="0"/>
        <v>19510470</v>
      </c>
      <c r="C19" s="59">
        <f t="shared" si="1"/>
        <v>19510470</v>
      </c>
    </row>
    <row r="20" spans="1:8" x14ac:dyDescent="0.3">
      <c r="A20" s="315">
        <f t="shared" si="2"/>
        <v>46218</v>
      </c>
      <c r="B20" s="359">
        <f t="shared" si="0"/>
        <v>19510470</v>
      </c>
      <c r="C20" s="59">
        <f t="shared" si="1"/>
        <v>19510470</v>
      </c>
    </row>
    <row r="21" spans="1:8" x14ac:dyDescent="0.3">
      <c r="A21" s="315">
        <f t="shared" si="2"/>
        <v>46219</v>
      </c>
      <c r="B21" s="359">
        <f t="shared" si="0"/>
        <v>19510470</v>
      </c>
      <c r="C21" s="59">
        <f t="shared" si="1"/>
        <v>19510470</v>
      </c>
    </row>
    <row r="22" spans="1:8" s="350" customFormat="1" x14ac:dyDescent="0.3">
      <c r="A22" s="315">
        <f t="shared" si="2"/>
        <v>46220</v>
      </c>
      <c r="B22" s="359">
        <f t="shared" si="0"/>
        <v>19510470</v>
      </c>
      <c r="C22" s="59">
        <f t="shared" si="1"/>
        <v>19510470</v>
      </c>
      <c r="D22" s="839"/>
    </row>
    <row r="23" spans="1:8" x14ac:dyDescent="0.3">
      <c r="A23" s="315">
        <f t="shared" si="2"/>
        <v>46221</v>
      </c>
      <c r="B23" s="359">
        <f t="shared" si="0"/>
        <v>19510470</v>
      </c>
      <c r="C23" s="59">
        <f t="shared" si="1"/>
        <v>19510470</v>
      </c>
    </row>
    <row r="24" spans="1:8" ht="15" customHeight="1" x14ac:dyDescent="0.3">
      <c r="A24" s="312">
        <f t="shared" si="2"/>
        <v>46222</v>
      </c>
      <c r="B24" s="359">
        <f t="shared" si="0"/>
        <v>19510470</v>
      </c>
      <c r="C24" s="59">
        <f t="shared" si="1"/>
        <v>19510470</v>
      </c>
      <c r="D24" s="83"/>
    </row>
    <row r="25" spans="1:8" x14ac:dyDescent="0.3">
      <c r="A25" s="6">
        <f t="shared" si="2"/>
        <v>46223</v>
      </c>
      <c r="B25" s="359">
        <f t="shared" si="0"/>
        <v>19510470</v>
      </c>
      <c r="C25" s="59">
        <f t="shared" si="1"/>
        <v>19510470</v>
      </c>
    </row>
    <row r="26" spans="1:8" x14ac:dyDescent="0.3">
      <c r="A26" s="6">
        <f t="shared" si="2"/>
        <v>46224</v>
      </c>
      <c r="B26" s="359">
        <f t="shared" si="0"/>
        <v>19510470</v>
      </c>
      <c r="C26" s="59">
        <f t="shared" si="1"/>
        <v>19510470</v>
      </c>
      <c r="D26" s="83"/>
    </row>
    <row r="27" spans="1:8" x14ac:dyDescent="0.3">
      <c r="A27" s="6">
        <f t="shared" si="2"/>
        <v>46225</v>
      </c>
      <c r="B27" s="359">
        <f t="shared" si="0"/>
        <v>19510470</v>
      </c>
      <c r="C27" s="59">
        <f t="shared" si="1"/>
        <v>19510470</v>
      </c>
    </row>
    <row r="28" spans="1:8" x14ac:dyDescent="0.3">
      <c r="A28" s="6">
        <f t="shared" si="2"/>
        <v>46226</v>
      </c>
      <c r="B28" s="359">
        <f>69930*279</f>
        <v>19510470</v>
      </c>
      <c r="C28" s="59">
        <f t="shared" si="1"/>
        <v>19510470</v>
      </c>
      <c r="D28" s="83"/>
    </row>
    <row r="29" spans="1:8" x14ac:dyDescent="0.3">
      <c r="A29" s="6">
        <f t="shared" si="2"/>
        <v>46227</v>
      </c>
      <c r="B29" s="359">
        <f t="shared" ref="B29:B36" si="3">69930*279</f>
        <v>19510470</v>
      </c>
      <c r="C29" s="59">
        <f t="shared" si="1"/>
        <v>19510470</v>
      </c>
    </row>
    <row r="30" spans="1:8" x14ac:dyDescent="0.3">
      <c r="A30" s="6">
        <f t="shared" si="2"/>
        <v>46228</v>
      </c>
      <c r="B30" s="359">
        <f t="shared" si="3"/>
        <v>19510470</v>
      </c>
      <c r="C30" s="59">
        <f t="shared" si="1"/>
        <v>19510470</v>
      </c>
      <c r="D30" s="83"/>
    </row>
    <row r="31" spans="1:8" x14ac:dyDescent="0.3">
      <c r="A31" s="6">
        <f t="shared" si="2"/>
        <v>46229</v>
      </c>
      <c r="B31" s="359">
        <f t="shared" si="3"/>
        <v>19510470</v>
      </c>
      <c r="C31" s="59">
        <f t="shared" si="1"/>
        <v>19510470</v>
      </c>
      <c r="D31" s="57"/>
      <c r="E31" s="57"/>
      <c r="F31" s="57"/>
      <c r="G31" s="57"/>
      <c r="H31" s="57"/>
    </row>
    <row r="32" spans="1:8" x14ac:dyDescent="0.3">
      <c r="A32" s="6">
        <f t="shared" si="2"/>
        <v>46230</v>
      </c>
      <c r="B32" s="359">
        <f t="shared" si="3"/>
        <v>19510470</v>
      </c>
      <c r="C32" s="59">
        <f t="shared" si="1"/>
        <v>19510470</v>
      </c>
      <c r="D32" s="83"/>
    </row>
    <row r="33" spans="1:8" x14ac:dyDescent="0.3">
      <c r="A33" s="6">
        <f t="shared" si="2"/>
        <v>46231</v>
      </c>
      <c r="B33" s="359">
        <f t="shared" si="3"/>
        <v>19510470</v>
      </c>
      <c r="C33" s="59">
        <f t="shared" si="1"/>
        <v>19510470</v>
      </c>
      <c r="D33" s="83"/>
    </row>
    <row r="34" spans="1:8" x14ac:dyDescent="0.3">
      <c r="A34" s="6">
        <f t="shared" si="2"/>
        <v>46232</v>
      </c>
      <c r="B34" s="359">
        <f t="shared" si="3"/>
        <v>19510470</v>
      </c>
      <c r="C34" s="59">
        <f t="shared" si="1"/>
        <v>19510470</v>
      </c>
      <c r="D34" s="83"/>
    </row>
    <row r="35" spans="1:8" x14ac:dyDescent="0.3">
      <c r="A35" s="6">
        <f t="shared" si="2"/>
        <v>46233</v>
      </c>
      <c r="B35" s="359">
        <f t="shared" si="3"/>
        <v>19510470</v>
      </c>
      <c r="C35" s="59">
        <f t="shared" si="1"/>
        <v>19510470</v>
      </c>
      <c r="D35" s="83"/>
    </row>
    <row r="36" spans="1:8" x14ac:dyDescent="0.3">
      <c r="A36" s="6">
        <f t="shared" si="2"/>
        <v>46234</v>
      </c>
      <c r="B36" s="359">
        <f t="shared" si="3"/>
        <v>19510470</v>
      </c>
      <c r="C36" s="59">
        <f t="shared" si="1"/>
        <v>19510470</v>
      </c>
      <c r="D36" s="83"/>
    </row>
    <row r="37" spans="1:8" x14ac:dyDescent="0.3">
      <c r="A37" s="124"/>
      <c r="B37" s="405"/>
      <c r="C37" s="111"/>
    </row>
    <row r="38" spans="1:8" x14ac:dyDescent="0.3">
      <c r="A38" s="943" t="s">
        <v>56</v>
      </c>
      <c r="B38" s="943"/>
      <c r="C38" s="943"/>
      <c r="D38" s="83"/>
    </row>
    <row r="39" spans="1:8" s="57" customFormat="1" ht="59.4" customHeight="1" x14ac:dyDescent="0.25">
      <c r="A39" s="51" t="s">
        <v>2</v>
      </c>
      <c r="B39" s="112" t="str">
        <f>B5</f>
        <v xml:space="preserve">
(C.D 23.06.2026, M.D 21.09.2026)</v>
      </c>
      <c r="C39" s="73" t="s">
        <v>0</v>
      </c>
      <c r="D39"/>
      <c r="E39"/>
      <c r="F39"/>
      <c r="G39"/>
      <c r="H39"/>
    </row>
    <row r="40" spans="1:8" s="74" customFormat="1" ht="33" customHeight="1" x14ac:dyDescent="0.25">
      <c r="A40" s="88" t="s">
        <v>325</v>
      </c>
      <c r="B40" s="354">
        <f>11.88%+1.15%</f>
        <v>0.1303</v>
      </c>
      <c r="C40" s="94"/>
      <c r="D40" s="83"/>
      <c r="E40"/>
      <c r="F40"/>
      <c r="G40"/>
      <c r="H40"/>
    </row>
    <row r="41" spans="1:8" x14ac:dyDescent="0.3">
      <c r="A41" s="6">
        <f t="shared" ref="A41:A70" si="4">A6</f>
        <v>46204</v>
      </c>
      <c r="B41" s="304">
        <f t="shared" ref="B41:B71" si="5">IF(B6&lt;0,0,B6*B$40/365)</f>
        <v>6964.9705232876713</v>
      </c>
      <c r="C41" s="33">
        <f t="shared" ref="C41:C72" si="6">SUM(B41:B41)</f>
        <v>6964.9705232876713</v>
      </c>
    </row>
    <row r="42" spans="1:8" x14ac:dyDescent="0.3">
      <c r="A42" s="6">
        <f t="shared" si="4"/>
        <v>46205</v>
      </c>
      <c r="B42" s="304">
        <f t="shared" si="5"/>
        <v>6964.9705232876713</v>
      </c>
      <c r="C42" s="33">
        <f t="shared" si="6"/>
        <v>6964.9705232876713</v>
      </c>
    </row>
    <row r="43" spans="1:8" x14ac:dyDescent="0.3">
      <c r="A43" s="6">
        <f t="shared" si="4"/>
        <v>46206</v>
      </c>
      <c r="B43" s="304">
        <f t="shared" si="5"/>
        <v>6964.9705232876713</v>
      </c>
      <c r="C43" s="33">
        <f t="shared" si="6"/>
        <v>6964.9705232876713</v>
      </c>
    </row>
    <row r="44" spans="1:8" x14ac:dyDescent="0.3">
      <c r="A44" s="6">
        <f t="shared" si="4"/>
        <v>46207</v>
      </c>
      <c r="B44" s="304">
        <f t="shared" si="5"/>
        <v>6964.9705232876713</v>
      </c>
      <c r="C44" s="33">
        <f t="shared" si="6"/>
        <v>6964.9705232876713</v>
      </c>
    </row>
    <row r="45" spans="1:8" x14ac:dyDescent="0.3">
      <c r="A45" s="6">
        <f t="shared" si="4"/>
        <v>46208</v>
      </c>
      <c r="B45" s="304">
        <f t="shared" si="5"/>
        <v>6964.9705232876713</v>
      </c>
      <c r="C45" s="33">
        <f t="shared" si="6"/>
        <v>6964.9705232876713</v>
      </c>
    </row>
    <row r="46" spans="1:8" x14ac:dyDescent="0.3">
      <c r="A46" s="6">
        <f t="shared" si="4"/>
        <v>46209</v>
      </c>
      <c r="B46" s="304">
        <f t="shared" si="5"/>
        <v>6964.9705232876713</v>
      </c>
      <c r="C46" s="33">
        <f t="shared" si="6"/>
        <v>6964.9705232876713</v>
      </c>
    </row>
    <row r="47" spans="1:8" x14ac:dyDescent="0.3">
      <c r="A47" s="6">
        <f t="shared" si="4"/>
        <v>46210</v>
      </c>
      <c r="B47" s="304">
        <f t="shared" si="5"/>
        <v>6964.9705232876713</v>
      </c>
      <c r="C47" s="33">
        <f t="shared" si="6"/>
        <v>6964.9705232876713</v>
      </c>
    </row>
    <row r="48" spans="1:8" x14ac:dyDescent="0.3">
      <c r="A48" s="6">
        <f t="shared" si="4"/>
        <v>46211</v>
      </c>
      <c r="B48" s="304">
        <f t="shared" si="5"/>
        <v>6964.9705232876713</v>
      </c>
      <c r="C48" s="33">
        <f t="shared" si="6"/>
        <v>6964.9705232876713</v>
      </c>
    </row>
    <row r="49" spans="1:3" x14ac:dyDescent="0.3">
      <c r="A49" s="6">
        <f t="shared" si="4"/>
        <v>46212</v>
      </c>
      <c r="B49" s="304">
        <f t="shared" si="5"/>
        <v>6964.9705232876713</v>
      </c>
      <c r="C49" s="33">
        <f t="shared" si="6"/>
        <v>6964.9705232876713</v>
      </c>
    </row>
    <row r="50" spans="1:3" x14ac:dyDescent="0.3">
      <c r="A50" s="6">
        <f t="shared" si="4"/>
        <v>46213</v>
      </c>
      <c r="B50" s="304">
        <f t="shared" si="5"/>
        <v>6964.9705232876713</v>
      </c>
      <c r="C50" s="33">
        <f t="shared" si="6"/>
        <v>6964.9705232876713</v>
      </c>
    </row>
    <row r="51" spans="1:3" x14ac:dyDescent="0.3">
      <c r="A51" s="6">
        <f t="shared" si="4"/>
        <v>46214</v>
      </c>
      <c r="B51" s="304">
        <f t="shared" si="5"/>
        <v>6964.9705232876713</v>
      </c>
      <c r="C51" s="33">
        <f t="shared" si="6"/>
        <v>6964.9705232876713</v>
      </c>
    </row>
    <row r="52" spans="1:3" x14ac:dyDescent="0.3">
      <c r="A52" s="6">
        <f t="shared" si="4"/>
        <v>46215</v>
      </c>
      <c r="B52" s="304">
        <f t="shared" si="5"/>
        <v>6964.9705232876713</v>
      </c>
      <c r="C52" s="33">
        <f t="shared" si="6"/>
        <v>6964.9705232876713</v>
      </c>
    </row>
    <row r="53" spans="1:3" x14ac:dyDescent="0.3">
      <c r="A53" s="6">
        <f t="shared" si="4"/>
        <v>46216</v>
      </c>
      <c r="B53" s="304">
        <f t="shared" si="5"/>
        <v>6964.9705232876713</v>
      </c>
      <c r="C53" s="33">
        <f t="shared" si="6"/>
        <v>6964.9705232876713</v>
      </c>
    </row>
    <row r="54" spans="1:3" x14ac:dyDescent="0.3">
      <c r="A54" s="6">
        <f t="shared" si="4"/>
        <v>46217</v>
      </c>
      <c r="B54" s="304">
        <f t="shared" si="5"/>
        <v>6964.9705232876713</v>
      </c>
      <c r="C54" s="33">
        <f t="shared" si="6"/>
        <v>6964.9705232876713</v>
      </c>
    </row>
    <row r="55" spans="1:3" x14ac:dyDescent="0.3">
      <c r="A55" s="6">
        <f t="shared" si="4"/>
        <v>46218</v>
      </c>
      <c r="B55" s="304">
        <f t="shared" si="5"/>
        <v>6964.9705232876713</v>
      </c>
      <c r="C55" s="33">
        <f t="shared" si="6"/>
        <v>6964.9705232876713</v>
      </c>
    </row>
    <row r="56" spans="1:3" x14ac:dyDescent="0.3">
      <c r="A56" s="6">
        <f t="shared" si="4"/>
        <v>46219</v>
      </c>
      <c r="B56" s="304">
        <f t="shared" si="5"/>
        <v>6964.9705232876713</v>
      </c>
      <c r="C56" s="33">
        <f t="shared" si="6"/>
        <v>6964.9705232876713</v>
      </c>
    </row>
    <row r="57" spans="1:3" x14ac:dyDescent="0.3">
      <c r="A57" s="6">
        <f t="shared" si="4"/>
        <v>46220</v>
      </c>
      <c r="B57" s="304">
        <f t="shared" si="5"/>
        <v>6964.9705232876713</v>
      </c>
      <c r="C57" s="33">
        <f t="shared" si="6"/>
        <v>6964.9705232876713</v>
      </c>
    </row>
    <row r="58" spans="1:3" x14ac:dyDescent="0.3">
      <c r="A58" s="6">
        <f t="shared" si="4"/>
        <v>46221</v>
      </c>
      <c r="B58" s="304">
        <f t="shared" si="5"/>
        <v>6964.9705232876713</v>
      </c>
      <c r="C58" s="33">
        <f t="shared" si="6"/>
        <v>6964.9705232876713</v>
      </c>
    </row>
    <row r="59" spans="1:3" x14ac:dyDescent="0.3">
      <c r="A59" s="6">
        <f t="shared" si="4"/>
        <v>46222</v>
      </c>
      <c r="B59" s="304">
        <f t="shared" si="5"/>
        <v>6964.9705232876713</v>
      </c>
      <c r="C59" s="33">
        <f t="shared" si="6"/>
        <v>6964.9705232876713</v>
      </c>
    </row>
    <row r="60" spans="1:3" x14ac:dyDescent="0.3">
      <c r="A60" s="6">
        <f t="shared" si="4"/>
        <v>46223</v>
      </c>
      <c r="B60" s="304">
        <f t="shared" si="5"/>
        <v>6964.9705232876713</v>
      </c>
      <c r="C60" s="33">
        <f t="shared" si="6"/>
        <v>6964.9705232876713</v>
      </c>
    </row>
    <row r="61" spans="1:3" x14ac:dyDescent="0.3">
      <c r="A61" s="6">
        <f t="shared" si="4"/>
        <v>46224</v>
      </c>
      <c r="B61" s="304">
        <f t="shared" si="5"/>
        <v>6964.9705232876713</v>
      </c>
      <c r="C61" s="33">
        <f t="shared" si="6"/>
        <v>6964.9705232876713</v>
      </c>
    </row>
    <row r="62" spans="1:3" x14ac:dyDescent="0.3">
      <c r="A62" s="6">
        <f t="shared" si="4"/>
        <v>46225</v>
      </c>
      <c r="B62" s="304">
        <f t="shared" si="5"/>
        <v>6964.9705232876713</v>
      </c>
      <c r="C62" s="33">
        <f t="shared" si="6"/>
        <v>6964.9705232876713</v>
      </c>
    </row>
    <row r="63" spans="1:3" x14ac:dyDescent="0.3">
      <c r="A63" s="6">
        <f t="shared" si="4"/>
        <v>46226</v>
      </c>
      <c r="B63" s="304">
        <f t="shared" si="5"/>
        <v>6964.9705232876713</v>
      </c>
      <c r="C63" s="33">
        <f t="shared" si="6"/>
        <v>6964.9705232876713</v>
      </c>
    </row>
    <row r="64" spans="1:3" x14ac:dyDescent="0.3">
      <c r="A64" s="6">
        <f t="shared" si="4"/>
        <v>46227</v>
      </c>
      <c r="B64" s="304">
        <f t="shared" si="5"/>
        <v>6964.9705232876713</v>
      </c>
      <c r="C64" s="33">
        <f t="shared" si="6"/>
        <v>6964.9705232876713</v>
      </c>
    </row>
    <row r="65" spans="1:10" x14ac:dyDescent="0.3">
      <c r="A65" s="6">
        <f t="shared" si="4"/>
        <v>46228</v>
      </c>
      <c r="B65" s="304">
        <f t="shared" si="5"/>
        <v>6964.9705232876713</v>
      </c>
      <c r="C65" s="33">
        <f t="shared" si="6"/>
        <v>6964.9705232876713</v>
      </c>
    </row>
    <row r="66" spans="1:10" x14ac:dyDescent="0.3">
      <c r="A66" s="6">
        <f t="shared" si="4"/>
        <v>46229</v>
      </c>
      <c r="B66" s="304">
        <f t="shared" si="5"/>
        <v>6964.9705232876713</v>
      </c>
      <c r="C66" s="33">
        <f t="shared" si="6"/>
        <v>6964.9705232876713</v>
      </c>
    </row>
    <row r="67" spans="1:10" x14ac:dyDescent="0.3">
      <c r="A67" s="6">
        <f t="shared" si="4"/>
        <v>46230</v>
      </c>
      <c r="B67" s="304">
        <f t="shared" si="5"/>
        <v>6964.9705232876713</v>
      </c>
      <c r="C67" s="33">
        <f t="shared" si="6"/>
        <v>6964.9705232876713</v>
      </c>
    </row>
    <row r="68" spans="1:10" x14ac:dyDescent="0.3">
      <c r="A68" s="6">
        <f t="shared" si="4"/>
        <v>46231</v>
      </c>
      <c r="B68" s="304">
        <f t="shared" si="5"/>
        <v>6964.9705232876713</v>
      </c>
      <c r="C68" s="33">
        <f t="shared" si="6"/>
        <v>6964.9705232876713</v>
      </c>
    </row>
    <row r="69" spans="1:10" x14ac:dyDescent="0.3">
      <c r="A69" s="6">
        <f t="shared" si="4"/>
        <v>46232</v>
      </c>
      <c r="B69" s="304">
        <f t="shared" si="5"/>
        <v>6964.9705232876713</v>
      </c>
      <c r="C69" s="33">
        <f t="shared" si="6"/>
        <v>6964.9705232876713</v>
      </c>
    </row>
    <row r="70" spans="1:10" x14ac:dyDescent="0.3">
      <c r="A70" s="6">
        <f t="shared" si="4"/>
        <v>46233</v>
      </c>
      <c r="B70" s="304">
        <f t="shared" si="5"/>
        <v>6964.9705232876713</v>
      </c>
      <c r="C70" s="33">
        <f t="shared" si="6"/>
        <v>6964.9705232876713</v>
      </c>
    </row>
    <row r="71" spans="1:10" x14ac:dyDescent="0.3">
      <c r="A71" s="6">
        <f t="shared" ref="A71" si="7">A36</f>
        <v>46234</v>
      </c>
      <c r="B71" s="304">
        <f t="shared" si="5"/>
        <v>6964.9705232876713</v>
      </c>
      <c r="C71" s="33">
        <f t="shared" si="6"/>
        <v>6964.9705232876713</v>
      </c>
    </row>
    <row r="72" spans="1:10" x14ac:dyDescent="0.3">
      <c r="A72" s="9" t="s">
        <v>14</v>
      </c>
      <c r="B72" s="36">
        <f>SUM(B41:B71)</f>
        <v>215914.08622191768</v>
      </c>
      <c r="C72" s="33">
        <f t="shared" si="6"/>
        <v>215914.08622191768</v>
      </c>
    </row>
    <row r="73" spans="1:10" x14ac:dyDescent="0.3">
      <c r="A73" s="940"/>
      <c r="B73" s="940"/>
      <c r="C73" s="940"/>
      <c r="I73" s="48"/>
    </row>
    <row r="74" spans="1:10" x14ac:dyDescent="0.3">
      <c r="A74" s="943" t="s">
        <v>73</v>
      </c>
      <c r="B74" s="943"/>
      <c r="C74" s="943"/>
      <c r="I74" s="48"/>
    </row>
    <row r="75" spans="1:10" s="57" customFormat="1" ht="41.4" x14ac:dyDescent="0.25">
      <c r="A75" s="51" t="s">
        <v>18</v>
      </c>
      <c r="B75" s="73" t="str">
        <f>B5</f>
        <v xml:space="preserve">
(C.D 23.06.2026, M.D 21.09.2026)</v>
      </c>
      <c r="C75" s="73" t="s">
        <v>0</v>
      </c>
      <c r="D75"/>
      <c r="E75"/>
      <c r="F75"/>
      <c r="G75"/>
      <c r="H75"/>
      <c r="I75" s="547"/>
    </row>
    <row r="76" spans="1:10" x14ac:dyDescent="0.3">
      <c r="A76" s="11" t="s">
        <v>15</v>
      </c>
      <c r="B76" s="304">
        <v>55719.764186301378</v>
      </c>
      <c r="C76" s="309">
        <f>SUM(B76:B76)</f>
        <v>55719.764186301378</v>
      </c>
      <c r="D76" s="582"/>
      <c r="I76" s="48"/>
      <c r="J76" s="55"/>
    </row>
    <row r="77" spans="1:10" x14ac:dyDescent="0.3">
      <c r="A77" s="11" t="s">
        <v>16</v>
      </c>
      <c r="B77" s="304">
        <f>B72</f>
        <v>215914.08622191768</v>
      </c>
      <c r="C77" s="309">
        <f>SUM(B77:B77)</f>
        <v>215914.08622191768</v>
      </c>
    </row>
    <row r="78" spans="1:10" x14ac:dyDescent="0.3">
      <c r="A78" s="11" t="s">
        <v>26</v>
      </c>
      <c r="B78" s="226">
        <v>0</v>
      </c>
      <c r="C78" s="309">
        <f>SUM(B78:B78)</f>
        <v>0</v>
      </c>
      <c r="F78" s="860"/>
    </row>
    <row r="79" spans="1:10" x14ac:dyDescent="0.3">
      <c r="A79" s="11" t="s">
        <v>14</v>
      </c>
      <c r="B79" s="304">
        <f>SUM(B76:B78)</f>
        <v>271633.85040821903</v>
      </c>
      <c r="C79" s="309">
        <f>SUM(B79:B79)</f>
        <v>271633.85040821903</v>
      </c>
      <c r="F79" s="83"/>
      <c r="I79" s="83"/>
    </row>
    <row r="80" spans="1:10" x14ac:dyDescent="0.3">
      <c r="A80" s="939"/>
      <c r="B80" s="939"/>
      <c r="C80" s="939"/>
      <c r="D80" s="83"/>
      <c r="F80" s="83"/>
      <c r="I80" s="55"/>
    </row>
    <row r="81" spans="1:9" ht="17.399999999999999" x14ac:dyDescent="0.3">
      <c r="A81" s="12" t="s">
        <v>30</v>
      </c>
      <c r="B81" s="151">
        <v>0</v>
      </c>
      <c r="C81" s="157">
        <f>SUM(B81:B81)</f>
        <v>0</v>
      </c>
      <c r="D81" s="707"/>
      <c r="F81" s="860"/>
      <c r="I81" s="83"/>
    </row>
    <row r="82" spans="1:9" x14ac:dyDescent="0.3">
      <c r="A82" s="1004"/>
      <c r="B82" s="1004"/>
      <c r="C82" s="1004"/>
      <c r="I82" s="55"/>
    </row>
    <row r="83" spans="1:9" x14ac:dyDescent="0.3">
      <c r="A83" s="12" t="s">
        <v>4</v>
      </c>
      <c r="B83" s="349"/>
      <c r="C83" s="37"/>
      <c r="D83" s="55"/>
      <c r="F83" s="83"/>
    </row>
    <row r="84" spans="1:9" x14ac:dyDescent="0.3">
      <c r="A84" s="940"/>
      <c r="B84" s="940"/>
      <c r="C84" s="940"/>
      <c r="F84" s="83"/>
      <c r="I84" s="55"/>
    </row>
    <row r="85" spans="1:9" x14ac:dyDescent="0.3">
      <c r="A85" s="28" t="s">
        <v>17</v>
      </c>
      <c r="B85" s="38">
        <f>B72+B78+B83</f>
        <v>215914.08622191768</v>
      </c>
      <c r="C85" s="38">
        <f>SUM(B85:B85)</f>
        <v>215914.08622191768</v>
      </c>
      <c r="F85" s="861"/>
    </row>
    <row r="86" spans="1:9" x14ac:dyDescent="0.3">
      <c r="A86" s="940"/>
      <c r="B86" s="940"/>
      <c r="C86" s="940"/>
    </row>
    <row r="87" spans="1:9" x14ac:dyDescent="0.3">
      <c r="A87" s="99" t="s">
        <v>31</v>
      </c>
      <c r="B87" s="108">
        <f>B79+B83-B81</f>
        <v>271633.85040821903</v>
      </c>
      <c r="C87" s="108">
        <f>C79+C83-C81-C80</f>
        <v>271633.85040821903</v>
      </c>
      <c r="D87" s="55"/>
      <c r="F87" s="83"/>
      <c r="H87" s="55"/>
    </row>
    <row r="88" spans="1:9" x14ac:dyDescent="0.3">
      <c r="A88" s="322" t="s">
        <v>254</v>
      </c>
      <c r="B88" s="399">
        <v>30000916</v>
      </c>
      <c r="C88" s="2"/>
      <c r="H88" s="83"/>
    </row>
    <row r="89" spans="1:9" x14ac:dyDescent="0.3">
      <c r="C89" s="2"/>
      <c r="H89" s="55"/>
    </row>
    <row r="91" spans="1:9" x14ac:dyDescent="0.3">
      <c r="A91" s="318" t="s">
        <v>265</v>
      </c>
      <c r="B91" s="521">
        <v>9200000050</v>
      </c>
    </row>
    <row r="92" spans="1:9" x14ac:dyDescent="0.3">
      <c r="A92" s="318" t="s">
        <v>266</v>
      </c>
      <c r="B92" s="521">
        <v>40000035</v>
      </c>
    </row>
    <row r="93" spans="1:9" x14ac:dyDescent="0.3">
      <c r="B93" s="304"/>
    </row>
  </sheetData>
  <mergeCells count="10">
    <mergeCell ref="A80:C80"/>
    <mergeCell ref="A82:C82"/>
    <mergeCell ref="A84:C84"/>
    <mergeCell ref="A86:C86"/>
    <mergeCell ref="A1:C1"/>
    <mergeCell ref="A3:C3"/>
    <mergeCell ref="A4:C4"/>
    <mergeCell ref="A38:C38"/>
    <mergeCell ref="A73:C73"/>
    <mergeCell ref="A74:C74"/>
  </mergeCells>
  <pageMargins left="0.70866141732283472" right="0.70866141732283472" top="0.74803149606299213" bottom="0.74803149606299213" header="0.31496062992125984" footer="0.31496062992125984"/>
  <pageSetup scale="44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DF00-7FC7-4F6E-A6DB-3969FEA2C2BA}">
  <sheetPr>
    <tabColor theme="0"/>
    <pageSetUpPr fitToPage="1"/>
  </sheetPr>
  <dimension ref="A1:M49"/>
  <sheetViews>
    <sheetView view="pageBreakPreview" topLeftCell="A29" zoomScaleNormal="55" zoomScaleSheetLayoutView="100" workbookViewId="0">
      <selection activeCell="J41" sqref="J41"/>
    </sheetView>
  </sheetViews>
  <sheetFormatPr defaultRowHeight="15.6" x14ac:dyDescent="0.3"/>
  <cols>
    <col min="1" max="1" width="9.6328125" style="3" customWidth="1"/>
    <col min="2" max="2" width="12.453125" style="2" customWidth="1"/>
    <col min="3" max="3" width="10.90625" style="2" bestFit="1" customWidth="1"/>
    <col min="4" max="4" width="11" style="2" customWidth="1"/>
    <col min="5" max="5" width="12" style="2" customWidth="1"/>
    <col min="6" max="6" width="2.36328125" style="3" customWidth="1"/>
    <col min="7" max="7" width="7.08984375" style="3" customWidth="1"/>
    <col min="8" max="8" width="8.6328125" style="302" customWidth="1"/>
    <col min="9" max="9" width="9.453125" style="3" customWidth="1"/>
    <col min="10" max="10" width="11.08984375" style="3" customWidth="1"/>
    <col min="11" max="11" width="18.6328125" style="71" bestFit="1" customWidth="1"/>
    <col min="12" max="12" width="11.81640625" customWidth="1"/>
    <col min="13" max="13" width="9.90625" bestFit="1" customWidth="1"/>
  </cols>
  <sheetData>
    <row r="1" spans="1:12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2" ht="18.600000000000001" thickBot="1" x14ac:dyDescent="0.4">
      <c r="A2" s="955" t="s">
        <v>158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2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349">
        <v>180000000</v>
      </c>
    </row>
    <row r="4" spans="1:12" s="71" customFormat="1" ht="15.6" customHeight="1" x14ac:dyDescent="0.3">
      <c r="A4" s="957" t="s">
        <v>2</v>
      </c>
      <c r="B4" s="959" t="s">
        <v>172</v>
      </c>
      <c r="C4" s="62" t="s">
        <v>4</v>
      </c>
      <c r="D4" s="63"/>
      <c r="E4" s="959" t="s">
        <v>173</v>
      </c>
      <c r="F4" s="3"/>
      <c r="G4" s="962" t="s">
        <v>168</v>
      </c>
      <c r="H4" s="976" t="s">
        <v>54</v>
      </c>
      <c r="I4" s="976" t="s">
        <v>169</v>
      </c>
      <c r="J4" s="971" t="s">
        <v>170</v>
      </c>
    </row>
    <row r="5" spans="1:12" s="71" customFormat="1" ht="13.8" x14ac:dyDescent="0.3">
      <c r="A5" s="958"/>
      <c r="B5" s="983"/>
      <c r="C5" s="67" t="s">
        <v>7</v>
      </c>
      <c r="D5" s="67" t="s">
        <v>8</v>
      </c>
      <c r="E5" s="960"/>
      <c r="F5" s="3"/>
      <c r="G5" s="963"/>
      <c r="H5" s="977"/>
      <c r="I5" s="977"/>
      <c r="J5" s="972"/>
    </row>
    <row r="6" spans="1:12" x14ac:dyDescent="0.3">
      <c r="A6" s="6">
        <v>46204</v>
      </c>
      <c r="B6" s="349">
        <v>180000000</v>
      </c>
      <c r="C6" s="14"/>
      <c r="D6" s="14"/>
      <c r="E6" s="5">
        <f>SUM(B6:D6)</f>
        <v>180000000</v>
      </c>
      <c r="G6" s="15">
        <v>1.15E-2</v>
      </c>
      <c r="H6" s="336">
        <v>0.1115</v>
      </c>
      <c r="I6" s="16">
        <f>+H6+G6</f>
        <v>0.123</v>
      </c>
      <c r="J6" s="17">
        <f>IF(E6&lt;0,0,E6*I6/365)</f>
        <v>60657.534246575342</v>
      </c>
      <c r="K6" s="733">
        <f>E6-K3</f>
        <v>0</v>
      </c>
      <c r="L6" s="111"/>
    </row>
    <row r="7" spans="1:12" x14ac:dyDescent="0.3">
      <c r="A7" s="6">
        <f>+A6+1</f>
        <v>46205</v>
      </c>
      <c r="B7" s="349">
        <v>180000000</v>
      </c>
      <c r="C7" s="41"/>
      <c r="D7" s="14"/>
      <c r="E7" s="5">
        <f t="shared" ref="E7:E32" si="0">SUM(B7:D7)</f>
        <v>180000000</v>
      </c>
      <c r="G7" s="15">
        <v>1.15E-2</v>
      </c>
      <c r="H7" s="336">
        <v>0.1115</v>
      </c>
      <c r="I7" s="16">
        <f>+H7+G7</f>
        <v>0.123</v>
      </c>
      <c r="J7" s="17">
        <f t="shared" ref="J7:J32" si="1">IF(E7&lt;0,0,E7*I7/365)</f>
        <v>60657.534246575342</v>
      </c>
      <c r="K7" s="310">
        <f>E7-E6</f>
        <v>0</v>
      </c>
    </row>
    <row r="8" spans="1:12" x14ac:dyDescent="0.3">
      <c r="A8" s="6">
        <f t="shared" ref="A8:A36" si="2">+A7+1</f>
        <v>46206</v>
      </c>
      <c r="B8" s="349">
        <v>180000000</v>
      </c>
      <c r="C8" s="41"/>
      <c r="D8" s="14"/>
      <c r="E8" s="5">
        <f t="shared" si="0"/>
        <v>180000000</v>
      </c>
      <c r="G8" s="15">
        <v>1.15E-2</v>
      </c>
      <c r="H8" s="336">
        <v>0.1115</v>
      </c>
      <c r="I8" s="16">
        <f t="shared" ref="I8:I32" si="3">+H8+G8</f>
        <v>0.123</v>
      </c>
      <c r="J8" s="17">
        <f t="shared" si="1"/>
        <v>60657.534246575342</v>
      </c>
      <c r="K8" s="310">
        <f>E8-E7</f>
        <v>0</v>
      </c>
    </row>
    <row r="9" spans="1:12" x14ac:dyDescent="0.3">
      <c r="A9" s="6">
        <f t="shared" si="2"/>
        <v>46207</v>
      </c>
      <c r="B9" s="349">
        <v>180000000</v>
      </c>
      <c r="C9" s="41"/>
      <c r="D9" s="14"/>
      <c r="E9" s="5">
        <f t="shared" si="0"/>
        <v>180000000</v>
      </c>
      <c r="G9" s="15">
        <v>1.15E-2</v>
      </c>
      <c r="H9" s="336">
        <v>0.1115</v>
      </c>
      <c r="I9" s="16">
        <f t="shared" si="3"/>
        <v>0.123</v>
      </c>
      <c r="J9" s="17">
        <f t="shared" si="1"/>
        <v>60657.534246575342</v>
      </c>
      <c r="K9" s="310">
        <f>E9-E8</f>
        <v>0</v>
      </c>
    </row>
    <row r="10" spans="1:12" x14ac:dyDescent="0.3">
      <c r="A10" s="6">
        <f t="shared" si="2"/>
        <v>46208</v>
      </c>
      <c r="B10" s="349">
        <v>180000000</v>
      </c>
      <c r="C10" s="35"/>
      <c r="D10" s="5"/>
      <c r="E10" s="5">
        <f t="shared" si="0"/>
        <v>180000000</v>
      </c>
      <c r="G10" s="15">
        <v>1.15E-2</v>
      </c>
      <c r="H10" s="336">
        <v>0.1115</v>
      </c>
      <c r="I10" s="16">
        <f t="shared" si="3"/>
        <v>0.123</v>
      </c>
      <c r="J10" s="17">
        <f t="shared" si="1"/>
        <v>60657.534246575342</v>
      </c>
      <c r="K10" s="733">
        <f>E10-E9</f>
        <v>0</v>
      </c>
    </row>
    <row r="11" spans="1:12" x14ac:dyDescent="0.3">
      <c r="A11" s="6">
        <f t="shared" si="2"/>
        <v>46209</v>
      </c>
      <c r="B11" s="349">
        <v>180000000</v>
      </c>
      <c r="C11" s="35"/>
      <c r="D11" s="5"/>
      <c r="E11" s="5">
        <f t="shared" si="0"/>
        <v>180000000</v>
      </c>
      <c r="G11" s="15">
        <v>1.15E-2</v>
      </c>
      <c r="H11" s="336">
        <v>0.1115</v>
      </c>
      <c r="I11" s="16">
        <f t="shared" si="3"/>
        <v>0.123</v>
      </c>
      <c r="J11" s="17">
        <f t="shared" si="1"/>
        <v>60657.534246575342</v>
      </c>
      <c r="K11" s="310">
        <f t="shared" ref="K11:K32" si="4">E11-E10</f>
        <v>0</v>
      </c>
    </row>
    <row r="12" spans="1:12" x14ac:dyDescent="0.3">
      <c r="A12" s="6">
        <f t="shared" si="2"/>
        <v>46210</v>
      </c>
      <c r="B12" s="349">
        <v>180000000</v>
      </c>
      <c r="C12" s="35"/>
      <c r="D12" s="5"/>
      <c r="E12" s="5">
        <f t="shared" si="0"/>
        <v>180000000</v>
      </c>
      <c r="G12" s="15">
        <v>1.15E-2</v>
      </c>
      <c r="H12" s="336">
        <v>0.1115</v>
      </c>
      <c r="I12" s="16">
        <f t="shared" si="3"/>
        <v>0.123</v>
      </c>
      <c r="J12" s="17">
        <f t="shared" si="1"/>
        <v>60657.534246575342</v>
      </c>
      <c r="K12" s="310">
        <f t="shared" si="4"/>
        <v>0</v>
      </c>
    </row>
    <row r="13" spans="1:12" x14ac:dyDescent="0.3">
      <c r="A13" s="6">
        <f t="shared" si="2"/>
        <v>46211</v>
      </c>
      <c r="B13" s="349">
        <v>180000000</v>
      </c>
      <c r="C13" s="35"/>
      <c r="D13" s="5"/>
      <c r="E13" s="5">
        <f t="shared" si="0"/>
        <v>180000000</v>
      </c>
      <c r="G13" s="15">
        <v>1.15E-2</v>
      </c>
      <c r="H13" s="336">
        <v>0.1115</v>
      </c>
      <c r="I13" s="16">
        <f t="shared" si="3"/>
        <v>0.123</v>
      </c>
      <c r="J13" s="17">
        <f t="shared" si="1"/>
        <v>60657.534246575342</v>
      </c>
      <c r="K13" s="310">
        <f t="shared" si="4"/>
        <v>0</v>
      </c>
    </row>
    <row r="14" spans="1:12" x14ac:dyDescent="0.3">
      <c r="A14" s="6">
        <f t="shared" si="2"/>
        <v>46212</v>
      </c>
      <c r="B14" s="349">
        <v>180000000</v>
      </c>
      <c r="C14" s="35"/>
      <c r="D14" s="5"/>
      <c r="E14" s="5">
        <f t="shared" si="0"/>
        <v>180000000</v>
      </c>
      <c r="G14" s="15">
        <v>1.15E-2</v>
      </c>
      <c r="H14" s="336">
        <v>0.1115</v>
      </c>
      <c r="I14" s="16">
        <f t="shared" si="3"/>
        <v>0.123</v>
      </c>
      <c r="J14" s="17">
        <f t="shared" si="1"/>
        <v>60657.534246575342</v>
      </c>
      <c r="K14" s="310">
        <f t="shared" si="4"/>
        <v>0</v>
      </c>
    </row>
    <row r="15" spans="1:12" x14ac:dyDescent="0.3">
      <c r="A15" s="6">
        <f t="shared" si="2"/>
        <v>46213</v>
      </c>
      <c r="B15" s="349">
        <v>180000000</v>
      </c>
      <c r="C15" s="35"/>
      <c r="D15" s="5"/>
      <c r="E15" s="5">
        <f t="shared" si="0"/>
        <v>180000000</v>
      </c>
      <c r="G15" s="15">
        <v>1.15E-2</v>
      </c>
      <c r="H15" s="336">
        <v>0.1115</v>
      </c>
      <c r="I15" s="16">
        <f t="shared" si="3"/>
        <v>0.123</v>
      </c>
      <c r="J15" s="17">
        <f t="shared" si="1"/>
        <v>60657.534246575342</v>
      </c>
      <c r="K15" s="733">
        <f t="shared" si="4"/>
        <v>0</v>
      </c>
    </row>
    <row r="16" spans="1:12" x14ac:dyDescent="0.3">
      <c r="A16" s="6">
        <f t="shared" si="2"/>
        <v>46214</v>
      </c>
      <c r="B16" s="349">
        <v>180000000</v>
      </c>
      <c r="C16" s="35"/>
      <c r="D16" s="5"/>
      <c r="E16" s="5">
        <f t="shared" si="0"/>
        <v>180000000</v>
      </c>
      <c r="G16" s="15">
        <v>1.15E-2</v>
      </c>
      <c r="H16" s="336">
        <v>0.1115</v>
      </c>
      <c r="I16" s="16">
        <f t="shared" si="3"/>
        <v>0.123</v>
      </c>
      <c r="J16" s="17">
        <f t="shared" si="1"/>
        <v>60657.534246575342</v>
      </c>
      <c r="K16" s="310">
        <f t="shared" si="4"/>
        <v>0</v>
      </c>
    </row>
    <row r="17" spans="1:13" x14ac:dyDescent="0.3">
      <c r="A17" s="6">
        <f t="shared" si="2"/>
        <v>46215</v>
      </c>
      <c r="B17" s="349">
        <v>180000000</v>
      </c>
      <c r="C17" s="35"/>
      <c r="D17" s="5"/>
      <c r="E17" s="5">
        <f t="shared" si="0"/>
        <v>180000000</v>
      </c>
      <c r="G17" s="15">
        <v>1.15E-2</v>
      </c>
      <c r="H17" s="336">
        <v>0.1115</v>
      </c>
      <c r="I17" s="16">
        <f t="shared" si="3"/>
        <v>0.123</v>
      </c>
      <c r="J17" s="17">
        <f t="shared" si="1"/>
        <v>60657.534246575342</v>
      </c>
      <c r="K17" s="310">
        <f t="shared" si="4"/>
        <v>0</v>
      </c>
    </row>
    <row r="18" spans="1:13" x14ac:dyDescent="0.3">
      <c r="A18" s="6">
        <f t="shared" si="2"/>
        <v>46216</v>
      </c>
      <c r="B18" s="349">
        <v>180000000</v>
      </c>
      <c r="C18" s="35"/>
      <c r="D18" s="5"/>
      <c r="E18" s="5">
        <f t="shared" si="0"/>
        <v>180000000</v>
      </c>
      <c r="G18" s="15">
        <v>1.15E-2</v>
      </c>
      <c r="H18" s="336">
        <v>0.1115</v>
      </c>
      <c r="I18" s="16">
        <f t="shared" si="3"/>
        <v>0.123</v>
      </c>
      <c r="J18" s="17">
        <f t="shared" si="1"/>
        <v>60657.534246575342</v>
      </c>
      <c r="K18" s="310">
        <f t="shared" si="4"/>
        <v>0</v>
      </c>
    </row>
    <row r="19" spans="1:13" x14ac:dyDescent="0.3">
      <c r="A19" s="6">
        <f t="shared" si="2"/>
        <v>46217</v>
      </c>
      <c r="B19" s="349">
        <v>180000000</v>
      </c>
      <c r="C19" s="35"/>
      <c r="D19" s="5"/>
      <c r="E19" s="5">
        <f t="shared" si="0"/>
        <v>180000000</v>
      </c>
      <c r="G19" s="15">
        <v>1.15E-2</v>
      </c>
      <c r="H19" s="336">
        <v>0.1115</v>
      </c>
      <c r="I19" s="16">
        <f t="shared" si="3"/>
        <v>0.123</v>
      </c>
      <c r="J19" s="17">
        <f t="shared" si="1"/>
        <v>60657.534246575342</v>
      </c>
      <c r="K19" s="310">
        <f t="shared" si="4"/>
        <v>0</v>
      </c>
    </row>
    <row r="20" spans="1:13" s="350" customFormat="1" x14ac:dyDescent="0.3">
      <c r="A20" s="315">
        <f t="shared" si="2"/>
        <v>46218</v>
      </c>
      <c r="B20" s="349">
        <v>180000000</v>
      </c>
      <c r="C20" s="414"/>
      <c r="D20" s="381"/>
      <c r="E20" s="5">
        <f t="shared" si="0"/>
        <v>180000000</v>
      </c>
      <c r="F20" s="331"/>
      <c r="G20" s="382">
        <v>1.15E-2</v>
      </c>
      <c r="H20" s="336">
        <v>0.1115</v>
      </c>
      <c r="I20" s="383">
        <f t="shared" si="3"/>
        <v>0.123</v>
      </c>
      <c r="J20" s="17">
        <f t="shared" si="1"/>
        <v>60657.534246575342</v>
      </c>
      <c r="K20" s="526">
        <f t="shared" si="4"/>
        <v>0</v>
      </c>
    </row>
    <row r="21" spans="1:13" x14ac:dyDescent="0.3">
      <c r="A21" s="6">
        <f t="shared" si="2"/>
        <v>46219</v>
      </c>
      <c r="B21" s="349">
        <v>180000000</v>
      </c>
      <c r="C21" s="35"/>
      <c r="D21" s="5"/>
      <c r="E21" s="5">
        <f t="shared" si="0"/>
        <v>180000000</v>
      </c>
      <c r="G21" s="15">
        <v>1.15E-2</v>
      </c>
      <c r="H21" s="336">
        <v>0.1115</v>
      </c>
      <c r="I21" s="16">
        <f t="shared" si="3"/>
        <v>0.123</v>
      </c>
      <c r="J21" s="17">
        <f t="shared" si="1"/>
        <v>60657.534246575342</v>
      </c>
      <c r="K21" s="310">
        <f t="shared" si="4"/>
        <v>0</v>
      </c>
    </row>
    <row r="22" spans="1:13" x14ac:dyDescent="0.3">
      <c r="A22" s="6">
        <f t="shared" si="2"/>
        <v>46220</v>
      </c>
      <c r="B22" s="349">
        <v>180000000</v>
      </c>
      <c r="C22" s="35"/>
      <c r="D22" s="5"/>
      <c r="E22" s="5">
        <f t="shared" si="0"/>
        <v>180000000</v>
      </c>
      <c r="G22" s="15">
        <v>1.15E-2</v>
      </c>
      <c r="H22" s="336">
        <v>0.1115</v>
      </c>
      <c r="I22" s="16">
        <f t="shared" si="3"/>
        <v>0.123</v>
      </c>
      <c r="J22" s="17">
        <f t="shared" si="1"/>
        <v>60657.534246575342</v>
      </c>
      <c r="K22" s="310">
        <f t="shared" si="4"/>
        <v>0</v>
      </c>
    </row>
    <row r="23" spans="1:13" x14ac:dyDescent="0.3">
      <c r="A23" s="6">
        <f t="shared" si="2"/>
        <v>46221</v>
      </c>
      <c r="B23" s="349">
        <v>180000000</v>
      </c>
      <c r="C23" s="35"/>
      <c r="D23" s="5"/>
      <c r="E23" s="5">
        <f t="shared" si="0"/>
        <v>180000000</v>
      </c>
      <c r="G23" s="15">
        <v>1.15E-2</v>
      </c>
      <c r="H23" s="336">
        <v>0.1115</v>
      </c>
      <c r="I23" s="16">
        <f t="shared" si="3"/>
        <v>0.123</v>
      </c>
      <c r="J23" s="17">
        <f t="shared" si="1"/>
        <v>60657.534246575342</v>
      </c>
      <c r="K23" s="310">
        <f t="shared" si="4"/>
        <v>0</v>
      </c>
    </row>
    <row r="24" spans="1:13" x14ac:dyDescent="0.3">
      <c r="A24" s="6">
        <f t="shared" si="2"/>
        <v>46222</v>
      </c>
      <c r="B24" s="349">
        <v>180000000</v>
      </c>
      <c r="C24" s="35"/>
      <c r="D24" s="5"/>
      <c r="E24" s="5">
        <f t="shared" si="0"/>
        <v>180000000</v>
      </c>
      <c r="G24" s="15">
        <v>1.15E-2</v>
      </c>
      <c r="H24" s="336">
        <v>0.1115</v>
      </c>
      <c r="I24" s="16">
        <f t="shared" si="3"/>
        <v>0.123</v>
      </c>
      <c r="J24" s="17">
        <f t="shared" si="1"/>
        <v>60657.534246575342</v>
      </c>
      <c r="K24" s="310">
        <f t="shared" si="4"/>
        <v>0</v>
      </c>
    </row>
    <row r="25" spans="1:13" x14ac:dyDescent="0.3">
      <c r="A25" s="6">
        <f t="shared" si="2"/>
        <v>46223</v>
      </c>
      <c r="B25" s="349">
        <v>180000000</v>
      </c>
      <c r="C25" s="35"/>
      <c r="D25" s="5"/>
      <c r="E25" s="5">
        <f t="shared" si="0"/>
        <v>180000000</v>
      </c>
      <c r="G25" s="15">
        <v>1.15E-2</v>
      </c>
      <c r="H25" s="336">
        <v>0.1115</v>
      </c>
      <c r="I25" s="16">
        <f t="shared" si="3"/>
        <v>0.123</v>
      </c>
      <c r="J25" s="17">
        <f t="shared" si="1"/>
        <v>60657.534246575342</v>
      </c>
      <c r="K25" s="310">
        <f t="shared" si="4"/>
        <v>0</v>
      </c>
    </row>
    <row r="26" spans="1:13" x14ac:dyDescent="0.3">
      <c r="A26" s="6">
        <f t="shared" si="2"/>
        <v>46224</v>
      </c>
      <c r="B26" s="349">
        <v>180000000</v>
      </c>
      <c r="C26" s="35"/>
      <c r="D26" s="5"/>
      <c r="E26" s="5">
        <f t="shared" si="0"/>
        <v>180000000</v>
      </c>
      <c r="G26" s="15">
        <v>1.15E-2</v>
      </c>
      <c r="H26" s="336">
        <v>0.1115</v>
      </c>
      <c r="I26" s="16">
        <f t="shared" si="3"/>
        <v>0.123</v>
      </c>
      <c r="J26" s="17">
        <f t="shared" si="1"/>
        <v>60657.534246575342</v>
      </c>
      <c r="K26" s="310">
        <f t="shared" si="4"/>
        <v>0</v>
      </c>
    </row>
    <row r="27" spans="1:13" x14ac:dyDescent="0.3">
      <c r="A27" s="6">
        <f t="shared" si="2"/>
        <v>46225</v>
      </c>
      <c r="B27" s="349">
        <v>180000000</v>
      </c>
      <c r="C27" s="35"/>
      <c r="D27" s="5"/>
      <c r="E27" s="5">
        <f t="shared" si="0"/>
        <v>180000000</v>
      </c>
      <c r="G27" s="15">
        <v>1.15E-2</v>
      </c>
      <c r="H27" s="336">
        <v>0.1115</v>
      </c>
      <c r="I27" s="16">
        <f t="shared" si="3"/>
        <v>0.123</v>
      </c>
      <c r="J27" s="17">
        <f t="shared" si="1"/>
        <v>60657.534246575342</v>
      </c>
      <c r="K27" s="310">
        <f t="shared" si="4"/>
        <v>0</v>
      </c>
    </row>
    <row r="28" spans="1:13" x14ac:dyDescent="0.3">
      <c r="A28" s="6">
        <f t="shared" si="2"/>
        <v>46226</v>
      </c>
      <c r="B28" s="349">
        <v>180000000</v>
      </c>
      <c r="C28" s="35"/>
      <c r="D28" s="5"/>
      <c r="E28" s="5">
        <f t="shared" si="0"/>
        <v>180000000</v>
      </c>
      <c r="G28" s="15">
        <v>1.15E-2</v>
      </c>
      <c r="H28" s="336">
        <v>0.1115</v>
      </c>
      <c r="I28" s="16">
        <f t="shared" si="3"/>
        <v>0.123</v>
      </c>
      <c r="J28" s="17">
        <f t="shared" si="1"/>
        <v>60657.534246575342</v>
      </c>
      <c r="K28" s="310">
        <f t="shared" si="4"/>
        <v>0</v>
      </c>
      <c r="M28" s="83"/>
    </row>
    <row r="29" spans="1:13" x14ac:dyDescent="0.3">
      <c r="A29" s="6">
        <f t="shared" si="2"/>
        <v>46227</v>
      </c>
      <c r="B29" s="349">
        <v>180000000</v>
      </c>
      <c r="C29" s="35"/>
      <c r="D29" s="5"/>
      <c r="E29" s="5">
        <f t="shared" si="0"/>
        <v>180000000</v>
      </c>
      <c r="G29" s="15">
        <v>1.15E-2</v>
      </c>
      <c r="H29" s="336">
        <v>0.1115</v>
      </c>
      <c r="I29" s="16">
        <f t="shared" si="3"/>
        <v>0.123</v>
      </c>
      <c r="J29" s="17">
        <f t="shared" si="1"/>
        <v>60657.534246575342</v>
      </c>
      <c r="K29" s="310">
        <f t="shared" si="4"/>
        <v>0</v>
      </c>
    </row>
    <row r="30" spans="1:13" x14ac:dyDescent="0.3">
      <c r="A30" s="6">
        <f t="shared" si="2"/>
        <v>46228</v>
      </c>
      <c r="B30" s="349">
        <v>180000000</v>
      </c>
      <c r="C30" s="35"/>
      <c r="D30" s="5"/>
      <c r="E30" s="5">
        <f t="shared" si="0"/>
        <v>180000000</v>
      </c>
      <c r="G30" s="15">
        <v>1.15E-2</v>
      </c>
      <c r="H30" s="336">
        <v>0.1115</v>
      </c>
      <c r="I30" s="16">
        <f t="shared" si="3"/>
        <v>0.123</v>
      </c>
      <c r="J30" s="17">
        <f t="shared" si="1"/>
        <v>60657.534246575342</v>
      </c>
      <c r="K30" s="310">
        <f t="shared" si="4"/>
        <v>0</v>
      </c>
    </row>
    <row r="31" spans="1:13" x14ac:dyDescent="0.3">
      <c r="A31" s="6">
        <f t="shared" si="2"/>
        <v>46229</v>
      </c>
      <c r="B31" s="349">
        <v>180000000</v>
      </c>
      <c r="C31" s="35"/>
      <c r="D31" s="5"/>
      <c r="E31" s="5">
        <f t="shared" si="0"/>
        <v>180000000</v>
      </c>
      <c r="G31" s="15">
        <v>1.15E-2</v>
      </c>
      <c r="H31" s="336">
        <v>0.1115</v>
      </c>
      <c r="I31" s="16">
        <f t="shared" si="3"/>
        <v>0.123</v>
      </c>
      <c r="J31" s="17">
        <f t="shared" si="1"/>
        <v>60657.534246575342</v>
      </c>
      <c r="K31" s="310">
        <f t="shared" si="4"/>
        <v>0</v>
      </c>
    </row>
    <row r="32" spans="1:13" x14ac:dyDescent="0.3">
      <c r="A32" s="6">
        <f t="shared" si="2"/>
        <v>46230</v>
      </c>
      <c r="B32" s="349">
        <v>180000000</v>
      </c>
      <c r="C32" s="35"/>
      <c r="D32" s="5"/>
      <c r="E32" s="5">
        <f t="shared" si="0"/>
        <v>180000000</v>
      </c>
      <c r="G32" s="15">
        <v>1.15E-2</v>
      </c>
      <c r="H32" s="336">
        <v>0.1115</v>
      </c>
      <c r="I32" s="16">
        <f t="shared" si="3"/>
        <v>0.123</v>
      </c>
      <c r="J32" s="17">
        <f t="shared" si="1"/>
        <v>60657.534246575342</v>
      </c>
      <c r="K32" s="310">
        <f t="shared" si="4"/>
        <v>0</v>
      </c>
    </row>
    <row r="33" spans="1:12" x14ac:dyDescent="0.3">
      <c r="A33" s="6">
        <f t="shared" si="2"/>
        <v>46231</v>
      </c>
      <c r="B33" s="349">
        <v>180000000</v>
      </c>
      <c r="C33" s="35"/>
      <c r="D33" s="5"/>
      <c r="E33" s="5">
        <f>SUM(B33:D33)</f>
        <v>180000000</v>
      </c>
      <c r="G33" s="15">
        <v>1.15E-2</v>
      </c>
      <c r="H33" s="336">
        <v>0.1115</v>
      </c>
      <c r="I33" s="16">
        <f>+H33+G33</f>
        <v>0.123</v>
      </c>
      <c r="J33" s="17">
        <f>IF(E33&lt;0,0,E33*I33/365)</f>
        <v>60657.534246575342</v>
      </c>
      <c r="K33" s="310">
        <f>E33-E32</f>
        <v>0</v>
      </c>
    </row>
    <row r="34" spans="1:12" x14ac:dyDescent="0.3">
      <c r="A34" s="6">
        <f t="shared" si="2"/>
        <v>46232</v>
      </c>
      <c r="B34" s="349">
        <v>180000000</v>
      </c>
      <c r="C34" s="35"/>
      <c r="D34" s="5"/>
      <c r="E34" s="5">
        <f>SUM(B34:D34)</f>
        <v>180000000</v>
      </c>
      <c r="G34" s="15">
        <v>1.15E-2</v>
      </c>
      <c r="H34" s="336">
        <v>0.1115</v>
      </c>
      <c r="I34" s="16">
        <f>+H34+G34</f>
        <v>0.123</v>
      </c>
      <c r="J34" s="17">
        <f>IF(E34&lt;0,0,E34*I34/365)</f>
        <v>60657.534246575342</v>
      </c>
      <c r="K34" s="310">
        <f>E34-E33</f>
        <v>0</v>
      </c>
    </row>
    <row r="35" spans="1:12" x14ac:dyDescent="0.3">
      <c r="A35" s="6">
        <f t="shared" si="2"/>
        <v>46233</v>
      </c>
      <c r="B35" s="349">
        <v>180000000</v>
      </c>
      <c r="C35" s="35"/>
      <c r="D35" s="5"/>
      <c r="E35" s="5">
        <f>SUM(B35:D35)</f>
        <v>180000000</v>
      </c>
      <c r="G35" s="15">
        <v>1.15E-2</v>
      </c>
      <c r="H35" s="336">
        <v>0.1115</v>
      </c>
      <c r="I35" s="16">
        <f>+H35+G35</f>
        <v>0.123</v>
      </c>
      <c r="J35" s="17">
        <f>IF(E35&lt;0,0,E35*I35/365)</f>
        <v>60657.534246575342</v>
      </c>
      <c r="K35" s="310">
        <f>E35-E34</f>
        <v>0</v>
      </c>
    </row>
    <row r="36" spans="1:12" x14ac:dyDescent="0.3">
      <c r="A36" s="6">
        <f t="shared" si="2"/>
        <v>46234</v>
      </c>
      <c r="B36" s="349">
        <v>180000000</v>
      </c>
      <c r="C36" s="35"/>
      <c r="D36" s="5"/>
      <c r="E36" s="5">
        <f>SUM(B36:D36)</f>
        <v>180000000</v>
      </c>
      <c r="G36" s="15">
        <v>1.15E-2</v>
      </c>
      <c r="H36" s="336">
        <v>0.1115</v>
      </c>
      <c r="I36" s="16">
        <f>+H36+G36</f>
        <v>0.123</v>
      </c>
      <c r="J36" s="17">
        <f>IF(E36&lt;0,0,E36*I36/365)</f>
        <v>60657.534246575342</v>
      </c>
      <c r="K36" s="310">
        <f>E36-E35</f>
        <v>0</v>
      </c>
    </row>
    <row r="37" spans="1:12" x14ac:dyDescent="0.3">
      <c r="G37" s="1001" t="s">
        <v>14</v>
      </c>
      <c r="H37" s="1002"/>
      <c r="I37" s="20"/>
      <c r="J37" s="117">
        <f>SUM(J6:J36)</f>
        <v>1880383.5616438352</v>
      </c>
    </row>
    <row r="38" spans="1:12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2" x14ac:dyDescent="0.3">
      <c r="G39" s="965" t="s">
        <v>22</v>
      </c>
      <c r="H39" s="965"/>
      <c r="I39" s="965"/>
      <c r="K39" s="329"/>
    </row>
    <row r="40" spans="1:12" x14ac:dyDescent="0.3">
      <c r="G40" s="966"/>
      <c r="H40" s="966"/>
      <c r="I40" s="966"/>
      <c r="J40" s="22" t="s">
        <v>0</v>
      </c>
    </row>
    <row r="41" spans="1:12" x14ac:dyDescent="0.3">
      <c r="A41" s="343" t="s">
        <v>206</v>
      </c>
      <c r="B41" s="343">
        <v>30000503</v>
      </c>
      <c r="G41" s="968" t="s">
        <v>15</v>
      </c>
      <c r="H41" s="968"/>
      <c r="I41" s="968"/>
      <c r="J41" s="215">
        <v>2695890.4109589043</v>
      </c>
      <c r="K41" s="580"/>
    </row>
    <row r="42" spans="1:12" ht="17.399999999999999" x14ac:dyDescent="0.3">
      <c r="B42" s="524"/>
      <c r="G42" s="968" t="s">
        <v>28</v>
      </c>
      <c r="H42" s="968"/>
      <c r="I42" s="968"/>
      <c r="J42" s="215"/>
      <c r="K42" s="847"/>
      <c r="L42" s="708"/>
    </row>
    <row r="43" spans="1:12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851">
        <f>IF(J42=0,0,J42-J41)</f>
        <v>0</v>
      </c>
      <c r="L43" s="55"/>
    </row>
    <row r="44" spans="1:12" x14ac:dyDescent="0.3">
      <c r="G44" s="966"/>
      <c r="H44" s="966"/>
      <c r="I44" s="966"/>
      <c r="J44" s="966"/>
      <c r="K44" s="699"/>
    </row>
    <row r="45" spans="1:12" ht="16.2" thickBot="1" x14ac:dyDescent="0.35">
      <c r="G45" s="1003" t="s">
        <v>199</v>
      </c>
      <c r="H45" s="1003"/>
      <c r="I45" s="1003"/>
      <c r="J45" s="217">
        <f>J37+J43</f>
        <v>1880383.5616438352</v>
      </c>
    </row>
    <row r="46" spans="1:12" x14ac:dyDescent="0.3">
      <c r="G46" s="966"/>
      <c r="H46" s="966"/>
      <c r="I46" s="966"/>
      <c r="J46" s="966"/>
      <c r="K46" s="697"/>
    </row>
    <row r="47" spans="1:12" x14ac:dyDescent="0.3">
      <c r="G47" s="991" t="s">
        <v>31</v>
      </c>
      <c r="H47" s="991"/>
      <c r="I47" s="991"/>
      <c r="J47" s="220">
        <f>J41+J45-J42</f>
        <v>4576273.9726027399</v>
      </c>
      <c r="K47" s="697"/>
    </row>
    <row r="48" spans="1:12" x14ac:dyDescent="0.3">
      <c r="H48" s="331"/>
      <c r="J48" s="2">
        <v>0</v>
      </c>
    </row>
    <row r="49" spans="8:10" x14ac:dyDescent="0.3">
      <c r="H49" s="331"/>
      <c r="J49" s="34">
        <v>0</v>
      </c>
    </row>
  </sheetData>
  <mergeCells count="21">
    <mergeCell ref="A38:J38"/>
    <mergeCell ref="H4:H5"/>
    <mergeCell ref="G43:I43"/>
    <mergeCell ref="G4:G5"/>
    <mergeCell ref="I4:I5"/>
    <mergeCell ref="G37:H37"/>
    <mergeCell ref="G46:J46"/>
    <mergeCell ref="G45:I45"/>
    <mergeCell ref="G47:I47"/>
    <mergeCell ref="G39:I39"/>
    <mergeCell ref="G40:I40"/>
    <mergeCell ref="G41:I41"/>
    <mergeCell ref="G42:I42"/>
    <mergeCell ref="G44:J44"/>
    <mergeCell ref="A1:J1"/>
    <mergeCell ref="A2:I2"/>
    <mergeCell ref="A3:J3"/>
    <mergeCell ref="A4:A5"/>
    <mergeCell ref="B4:B5"/>
    <mergeCell ref="E4:E5"/>
    <mergeCell ref="J4:J5"/>
  </mergeCells>
  <pageMargins left="0.70866141732283472" right="0.70866141732283472" top="0.74803149606299213" bottom="0.74803149606299213" header="0.31496062992125984" footer="0.31496062992125984"/>
  <pageSetup scale="66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654B-24E6-491B-A8FC-04BDCB1E1A91}">
  <dimension ref="A1:H93"/>
  <sheetViews>
    <sheetView topLeftCell="A27" zoomScaleNormal="100" workbookViewId="0">
      <selection activeCell="F41" sqref="F41"/>
    </sheetView>
  </sheetViews>
  <sheetFormatPr defaultColWidth="8.6328125" defaultRowHeight="15" x14ac:dyDescent="0.25"/>
  <cols>
    <col min="1" max="1" width="9.81640625" customWidth="1"/>
    <col min="2" max="2" width="12.26953125" bestFit="1" customWidth="1"/>
    <col min="3" max="3" width="7.08984375" customWidth="1"/>
    <col min="4" max="4" width="8.6328125" style="350" customWidth="1"/>
    <col min="5" max="5" width="11.36328125" customWidth="1"/>
    <col min="6" max="6" width="11.08984375" customWidth="1"/>
    <col min="7" max="7" width="18.6328125" bestFit="1" customWidth="1"/>
    <col min="8" max="8" width="17.81640625" bestFit="1" customWidth="1"/>
  </cols>
  <sheetData>
    <row r="1" spans="1:6" ht="18" x14ac:dyDescent="0.35">
      <c r="A1" s="941" t="s">
        <v>35</v>
      </c>
      <c r="B1" s="941"/>
      <c r="C1" s="941"/>
      <c r="D1" s="941"/>
      <c r="E1" s="941"/>
      <c r="F1" s="941"/>
    </row>
    <row r="2" spans="1:6" ht="18.600000000000001" thickBot="1" x14ac:dyDescent="0.4">
      <c r="A2" s="8" t="s">
        <v>156</v>
      </c>
      <c r="B2" s="47"/>
      <c r="C2" s="47"/>
      <c r="D2" s="822"/>
      <c r="E2" s="47"/>
      <c r="F2" s="27">
        <f>'FINANCIAL COST SUMMARY'!K2</f>
        <v>46204</v>
      </c>
    </row>
    <row r="3" spans="1:6" ht="15.6" x14ac:dyDescent="0.3">
      <c r="A3" s="956"/>
      <c r="B3" s="956"/>
      <c r="C3" s="956"/>
      <c r="D3" s="956"/>
      <c r="E3" s="956"/>
      <c r="F3" s="956"/>
    </row>
    <row r="4" spans="1:6" s="227" customFormat="1" ht="15.6" customHeight="1" x14ac:dyDescent="0.25">
      <c r="A4" s="1005" t="s">
        <v>2</v>
      </c>
      <c r="B4" s="1007" t="s">
        <v>167</v>
      </c>
      <c r="C4" s="1008" t="s">
        <v>168</v>
      </c>
      <c r="D4" s="1010" t="s">
        <v>55</v>
      </c>
      <c r="E4" s="1010" t="s">
        <v>169</v>
      </c>
      <c r="F4" s="984" t="s">
        <v>171</v>
      </c>
    </row>
    <row r="5" spans="1:6" s="227" customFormat="1" ht="13.2" customHeight="1" x14ac:dyDescent="0.25">
      <c r="A5" s="1006"/>
      <c r="B5" s="1007"/>
      <c r="C5" s="1009"/>
      <c r="D5" s="1011"/>
      <c r="E5" s="1011"/>
      <c r="F5" s="1012"/>
    </row>
    <row r="6" spans="1:6" ht="15.6" x14ac:dyDescent="0.3">
      <c r="A6" s="6">
        <v>46204</v>
      </c>
      <c r="B6" s="330">
        <v>200000000</v>
      </c>
      <c r="C6" s="244">
        <v>1.15E-2</v>
      </c>
      <c r="D6" s="337">
        <v>0.11899999999999999</v>
      </c>
      <c r="E6" s="244">
        <f>+D6+C6</f>
        <v>0.1305</v>
      </c>
      <c r="F6" s="385">
        <f>IF(B6&lt;0,0,B6*E6/365)</f>
        <v>71506.849315068495</v>
      </c>
    </row>
    <row r="7" spans="1:6" ht="15.6" x14ac:dyDescent="0.3">
      <c r="A7" s="6">
        <f>+A6+1</f>
        <v>46205</v>
      </c>
      <c r="B7" s="330">
        <v>200000000</v>
      </c>
      <c r="C7" s="244">
        <v>1.15E-2</v>
      </c>
      <c r="D7" s="337">
        <v>0.11899999999999999</v>
      </c>
      <c r="E7" s="244">
        <f t="shared" ref="E7:E32" si="0">+D7+C7</f>
        <v>0.1305</v>
      </c>
      <c r="F7" s="385">
        <f>IF(B7&lt;0,0,B7*E7/365)</f>
        <v>71506.849315068495</v>
      </c>
    </row>
    <row r="8" spans="1:6" ht="15.6" x14ac:dyDescent="0.3">
      <c r="A8" s="6">
        <f t="shared" ref="A8:A36" si="1">+A7+1</f>
        <v>46206</v>
      </c>
      <c r="B8" s="330">
        <v>200000000</v>
      </c>
      <c r="C8" s="244">
        <v>1.15E-2</v>
      </c>
      <c r="D8" s="337">
        <v>0.11899999999999999</v>
      </c>
      <c r="E8" s="244">
        <f t="shared" si="0"/>
        <v>0.1305</v>
      </c>
      <c r="F8" s="385">
        <f t="shared" ref="F8:F32" si="2">IF(B8&lt;0,0,B8*E8/365)</f>
        <v>71506.849315068495</v>
      </c>
    </row>
    <row r="9" spans="1:6" ht="15.6" x14ac:dyDescent="0.3">
      <c r="A9" s="6">
        <f t="shared" si="1"/>
        <v>46207</v>
      </c>
      <c r="B9" s="330">
        <v>200000000</v>
      </c>
      <c r="C9" s="244">
        <v>1.15E-2</v>
      </c>
      <c r="D9" s="337">
        <v>0.11899999999999999</v>
      </c>
      <c r="E9" s="244">
        <f t="shared" si="0"/>
        <v>0.1305</v>
      </c>
      <c r="F9" s="385">
        <f t="shared" si="2"/>
        <v>71506.849315068495</v>
      </c>
    </row>
    <row r="10" spans="1:6" ht="15.6" x14ac:dyDescent="0.3">
      <c r="A10" s="6">
        <f t="shared" si="1"/>
        <v>46208</v>
      </c>
      <c r="B10" s="330">
        <v>200000000</v>
      </c>
      <c r="C10" s="244">
        <v>1.15E-2</v>
      </c>
      <c r="D10" s="337">
        <v>0.11899999999999999</v>
      </c>
      <c r="E10" s="244">
        <f t="shared" si="0"/>
        <v>0.1305</v>
      </c>
      <c r="F10" s="385">
        <f t="shared" si="2"/>
        <v>71506.849315068495</v>
      </c>
    </row>
    <row r="11" spans="1:6" ht="15.6" x14ac:dyDescent="0.3">
      <c r="A11" s="6">
        <f t="shared" si="1"/>
        <v>46209</v>
      </c>
      <c r="B11" s="330">
        <v>200000000</v>
      </c>
      <c r="C11" s="244">
        <v>1.15E-2</v>
      </c>
      <c r="D11" s="337">
        <v>0.11899999999999999</v>
      </c>
      <c r="E11" s="244">
        <f t="shared" si="0"/>
        <v>0.1305</v>
      </c>
      <c r="F11" s="385">
        <f t="shared" si="2"/>
        <v>71506.849315068495</v>
      </c>
    </row>
    <row r="12" spans="1:6" ht="15.6" x14ac:dyDescent="0.3">
      <c r="A12" s="6">
        <f t="shared" si="1"/>
        <v>46210</v>
      </c>
      <c r="B12" s="330">
        <v>200000000</v>
      </c>
      <c r="C12" s="244">
        <v>1.15E-2</v>
      </c>
      <c r="D12" s="337">
        <v>0.11899999999999999</v>
      </c>
      <c r="E12" s="244">
        <f t="shared" si="0"/>
        <v>0.1305</v>
      </c>
      <c r="F12" s="385">
        <f t="shared" si="2"/>
        <v>71506.849315068495</v>
      </c>
    </row>
    <row r="13" spans="1:6" ht="15.6" x14ac:dyDescent="0.3">
      <c r="A13" s="6">
        <f t="shared" si="1"/>
        <v>46211</v>
      </c>
      <c r="B13" s="330">
        <v>200000000</v>
      </c>
      <c r="C13" s="244">
        <v>1.15E-2</v>
      </c>
      <c r="D13" s="337">
        <v>0.11899999999999999</v>
      </c>
      <c r="E13" s="244">
        <f t="shared" si="0"/>
        <v>0.1305</v>
      </c>
      <c r="F13" s="385">
        <f t="shared" si="2"/>
        <v>71506.849315068495</v>
      </c>
    </row>
    <row r="14" spans="1:6" ht="15.6" x14ac:dyDescent="0.3">
      <c r="A14" s="6">
        <f t="shared" si="1"/>
        <v>46212</v>
      </c>
      <c r="B14" s="330">
        <v>200000000</v>
      </c>
      <c r="C14" s="244">
        <v>1.15E-2</v>
      </c>
      <c r="D14" s="337">
        <v>0.11899999999999999</v>
      </c>
      <c r="E14" s="244">
        <f t="shared" si="0"/>
        <v>0.1305</v>
      </c>
      <c r="F14" s="385">
        <f t="shared" si="2"/>
        <v>71506.849315068495</v>
      </c>
    </row>
    <row r="15" spans="1:6" ht="15.6" x14ac:dyDescent="0.3">
      <c r="A15" s="6">
        <f t="shared" si="1"/>
        <v>46213</v>
      </c>
      <c r="B15" s="330">
        <v>200000000</v>
      </c>
      <c r="C15" s="244">
        <v>1.15E-2</v>
      </c>
      <c r="D15" s="337">
        <v>0.11899999999999999</v>
      </c>
      <c r="E15" s="244">
        <f t="shared" si="0"/>
        <v>0.1305</v>
      </c>
      <c r="F15" s="385">
        <f t="shared" si="2"/>
        <v>71506.849315068495</v>
      </c>
    </row>
    <row r="16" spans="1:6" ht="15.6" x14ac:dyDescent="0.3">
      <c r="A16" s="6">
        <f t="shared" si="1"/>
        <v>46214</v>
      </c>
      <c r="B16" s="330">
        <v>200000000</v>
      </c>
      <c r="C16" s="244">
        <v>1.15E-2</v>
      </c>
      <c r="D16" s="337">
        <v>0.11899999999999999</v>
      </c>
      <c r="E16" s="244">
        <f t="shared" si="0"/>
        <v>0.1305</v>
      </c>
      <c r="F16" s="385">
        <f t="shared" si="2"/>
        <v>71506.849315068495</v>
      </c>
    </row>
    <row r="17" spans="1:7" ht="15.6" x14ac:dyDescent="0.3">
      <c r="A17" s="6">
        <f t="shared" si="1"/>
        <v>46215</v>
      </c>
      <c r="B17" s="330">
        <v>200000000</v>
      </c>
      <c r="C17" s="244">
        <v>1.15E-2</v>
      </c>
      <c r="D17" s="337">
        <v>0.11899999999999999</v>
      </c>
      <c r="E17" s="244">
        <f t="shared" si="0"/>
        <v>0.1305</v>
      </c>
      <c r="F17" s="385">
        <f t="shared" si="2"/>
        <v>71506.849315068495</v>
      </c>
    </row>
    <row r="18" spans="1:7" ht="15.6" x14ac:dyDescent="0.3">
      <c r="A18" s="6">
        <f t="shared" si="1"/>
        <v>46216</v>
      </c>
      <c r="B18" s="330">
        <v>200000000</v>
      </c>
      <c r="C18" s="244">
        <v>1.15E-2</v>
      </c>
      <c r="D18" s="337">
        <v>0.11899999999999999</v>
      </c>
      <c r="E18" s="244">
        <f t="shared" si="0"/>
        <v>0.1305</v>
      </c>
      <c r="F18" s="385">
        <f t="shared" si="2"/>
        <v>71506.849315068495</v>
      </c>
    </row>
    <row r="19" spans="1:7" ht="15.6" x14ac:dyDescent="0.3">
      <c r="A19" s="6">
        <f t="shared" si="1"/>
        <v>46217</v>
      </c>
      <c r="B19" s="330">
        <v>200000000</v>
      </c>
      <c r="C19" s="244">
        <v>1.15E-2</v>
      </c>
      <c r="D19" s="337">
        <v>0.11899999999999999</v>
      </c>
      <c r="E19" s="244">
        <f t="shared" si="0"/>
        <v>0.1305</v>
      </c>
      <c r="F19" s="385">
        <f t="shared" si="2"/>
        <v>71506.849315068495</v>
      </c>
    </row>
    <row r="20" spans="1:7" ht="15.6" x14ac:dyDescent="0.3">
      <c r="A20" s="6">
        <f t="shared" si="1"/>
        <v>46218</v>
      </c>
      <c r="B20" s="330">
        <v>200000000</v>
      </c>
      <c r="C20" s="244">
        <v>1.15E-2</v>
      </c>
      <c r="D20" s="337">
        <v>0.11899999999999999</v>
      </c>
      <c r="E20" s="244">
        <f t="shared" si="0"/>
        <v>0.1305</v>
      </c>
      <c r="F20" s="385">
        <f t="shared" si="2"/>
        <v>71506.849315068495</v>
      </c>
    </row>
    <row r="21" spans="1:7" ht="15.6" x14ac:dyDescent="0.3">
      <c r="A21" s="6">
        <f t="shared" si="1"/>
        <v>46219</v>
      </c>
      <c r="B21" s="330">
        <v>200000000</v>
      </c>
      <c r="C21" s="244">
        <v>1.15E-2</v>
      </c>
      <c r="D21" s="337">
        <v>0.11899999999999999</v>
      </c>
      <c r="E21" s="244">
        <f t="shared" si="0"/>
        <v>0.1305</v>
      </c>
      <c r="F21" s="385">
        <f t="shared" si="2"/>
        <v>71506.849315068495</v>
      </c>
    </row>
    <row r="22" spans="1:7" ht="15.6" x14ac:dyDescent="0.3">
      <c r="A22" s="6">
        <f t="shared" si="1"/>
        <v>46220</v>
      </c>
      <c r="B22" s="330">
        <v>200000000</v>
      </c>
      <c r="C22" s="244">
        <v>1.15E-2</v>
      </c>
      <c r="D22" s="337">
        <v>0.11899999999999999</v>
      </c>
      <c r="E22" s="244">
        <f t="shared" si="0"/>
        <v>0.1305</v>
      </c>
      <c r="F22" s="385">
        <f t="shared" si="2"/>
        <v>71506.849315068495</v>
      </c>
    </row>
    <row r="23" spans="1:7" ht="15.6" x14ac:dyDescent="0.3">
      <c r="A23" s="6">
        <f t="shared" si="1"/>
        <v>46221</v>
      </c>
      <c r="B23" s="330">
        <v>200000000</v>
      </c>
      <c r="C23" s="244">
        <v>1.15E-2</v>
      </c>
      <c r="D23" s="337">
        <v>0.11899999999999999</v>
      </c>
      <c r="E23" s="244">
        <f t="shared" si="0"/>
        <v>0.1305</v>
      </c>
      <c r="F23" s="385">
        <f t="shared" si="2"/>
        <v>71506.849315068495</v>
      </c>
    </row>
    <row r="24" spans="1:7" ht="15.6" x14ac:dyDescent="0.3">
      <c r="A24" s="6">
        <f t="shared" si="1"/>
        <v>46222</v>
      </c>
      <c r="B24" s="330">
        <v>200000000</v>
      </c>
      <c r="C24" s="244">
        <v>1.15E-2</v>
      </c>
      <c r="D24" s="337">
        <v>0.11899999999999999</v>
      </c>
      <c r="E24" s="244">
        <f t="shared" si="0"/>
        <v>0.1305</v>
      </c>
      <c r="F24" s="385">
        <f t="shared" si="2"/>
        <v>71506.849315068495</v>
      </c>
    </row>
    <row r="25" spans="1:7" ht="15.6" x14ac:dyDescent="0.3">
      <c r="A25" s="6">
        <f t="shared" si="1"/>
        <v>46223</v>
      </c>
      <c r="B25" s="330">
        <v>200000000</v>
      </c>
      <c r="C25" s="337">
        <v>1.15E-2</v>
      </c>
      <c r="D25" s="337">
        <v>0.11899999999999999</v>
      </c>
      <c r="E25" s="244">
        <f t="shared" si="0"/>
        <v>0.1305</v>
      </c>
      <c r="F25" s="385">
        <f t="shared" si="2"/>
        <v>71506.849315068495</v>
      </c>
    </row>
    <row r="26" spans="1:7" ht="15.6" x14ac:dyDescent="0.3">
      <c r="A26" s="6">
        <f t="shared" si="1"/>
        <v>46224</v>
      </c>
      <c r="B26" s="330">
        <v>200000000</v>
      </c>
      <c r="C26" s="337">
        <v>1.15E-2</v>
      </c>
      <c r="D26" s="337">
        <v>0.11899999999999999</v>
      </c>
      <c r="E26" s="244">
        <f t="shared" si="0"/>
        <v>0.1305</v>
      </c>
      <c r="F26" s="385">
        <f t="shared" si="2"/>
        <v>71506.849315068495</v>
      </c>
    </row>
    <row r="27" spans="1:7" ht="15.6" x14ac:dyDescent="0.3">
      <c r="A27" s="6">
        <f t="shared" si="1"/>
        <v>46225</v>
      </c>
      <c r="B27" s="330">
        <v>200000000</v>
      </c>
      <c r="C27" s="337">
        <v>1.15E-2</v>
      </c>
      <c r="D27" s="337">
        <v>0.11899999999999999</v>
      </c>
      <c r="E27" s="244">
        <f t="shared" si="0"/>
        <v>0.1305</v>
      </c>
      <c r="F27" s="385">
        <f t="shared" si="2"/>
        <v>71506.849315068495</v>
      </c>
    </row>
    <row r="28" spans="1:7" ht="15.6" x14ac:dyDescent="0.3">
      <c r="A28" s="6">
        <f t="shared" si="1"/>
        <v>46226</v>
      </c>
      <c r="B28" s="330">
        <v>200000000</v>
      </c>
      <c r="C28" s="337">
        <v>1.15E-2</v>
      </c>
      <c r="D28" s="337">
        <v>0.11899999999999999</v>
      </c>
      <c r="E28" s="244">
        <f t="shared" si="0"/>
        <v>0.1305</v>
      </c>
      <c r="F28" s="385">
        <f t="shared" si="2"/>
        <v>71506.849315068495</v>
      </c>
      <c r="G28" s="55"/>
    </row>
    <row r="29" spans="1:7" ht="15.6" x14ac:dyDescent="0.3">
      <c r="A29" s="6">
        <f t="shared" si="1"/>
        <v>46227</v>
      </c>
      <c r="B29" s="330">
        <v>200000000</v>
      </c>
      <c r="C29" s="337">
        <v>1.15E-2</v>
      </c>
      <c r="D29" s="337">
        <v>0.11899999999999999</v>
      </c>
      <c r="E29" s="244">
        <f t="shared" si="0"/>
        <v>0.1305</v>
      </c>
      <c r="F29" s="385">
        <f t="shared" si="2"/>
        <v>71506.849315068495</v>
      </c>
    </row>
    <row r="30" spans="1:7" ht="15.6" x14ac:dyDescent="0.3">
      <c r="A30" s="315">
        <f t="shared" si="1"/>
        <v>46228</v>
      </c>
      <c r="B30" s="330">
        <v>200000000</v>
      </c>
      <c r="C30" s="337">
        <v>1.15E-2</v>
      </c>
      <c r="D30" s="337">
        <v>0.11899999999999999</v>
      </c>
      <c r="E30" s="244">
        <f t="shared" si="0"/>
        <v>0.1305</v>
      </c>
      <c r="F30" s="385">
        <f t="shared" si="2"/>
        <v>71506.849315068495</v>
      </c>
    </row>
    <row r="31" spans="1:7" s="350" customFormat="1" ht="15.6" x14ac:dyDescent="0.3">
      <c r="A31" s="315">
        <f t="shared" si="1"/>
        <v>46229</v>
      </c>
      <c r="B31" s="330">
        <v>200000000</v>
      </c>
      <c r="C31" s="337">
        <v>1.15E-2</v>
      </c>
      <c r="D31" s="337">
        <v>0.11899999999999999</v>
      </c>
      <c r="E31" s="337">
        <f t="shared" si="0"/>
        <v>0.1305</v>
      </c>
      <c r="F31" s="385">
        <f t="shared" si="2"/>
        <v>71506.849315068495</v>
      </c>
    </row>
    <row r="32" spans="1:7" ht="15.6" x14ac:dyDescent="0.3">
      <c r="A32" s="315">
        <f t="shared" si="1"/>
        <v>46230</v>
      </c>
      <c r="B32" s="330">
        <v>200000000</v>
      </c>
      <c r="C32" s="337">
        <v>1.15E-2</v>
      </c>
      <c r="D32" s="337">
        <v>0.11899999999999999</v>
      </c>
      <c r="E32" s="244">
        <f t="shared" si="0"/>
        <v>0.1305</v>
      </c>
      <c r="F32" s="385">
        <f t="shared" si="2"/>
        <v>71506.849315068495</v>
      </c>
    </row>
    <row r="33" spans="1:8" ht="15.6" x14ac:dyDescent="0.3">
      <c r="A33" s="315">
        <f t="shared" si="1"/>
        <v>46231</v>
      </c>
      <c r="B33" s="330">
        <v>200000000</v>
      </c>
      <c r="C33" s="337">
        <v>1.15E-2</v>
      </c>
      <c r="D33" s="337">
        <v>0.11899999999999999</v>
      </c>
      <c r="E33" s="244">
        <f>+D33+C33</f>
        <v>0.1305</v>
      </c>
      <c r="F33" s="385">
        <f>IF(B33&lt;0,0,B33*E33/365)</f>
        <v>71506.849315068495</v>
      </c>
    </row>
    <row r="34" spans="1:8" ht="15.6" x14ac:dyDescent="0.3">
      <c r="A34" s="315">
        <f t="shared" si="1"/>
        <v>46232</v>
      </c>
      <c r="B34" s="330">
        <v>200000000</v>
      </c>
      <c r="C34" s="337">
        <v>1.15E-2</v>
      </c>
      <c r="D34" s="337">
        <v>0.11899999999999999</v>
      </c>
      <c r="E34" s="244">
        <f>+D34+C34</f>
        <v>0.1305</v>
      </c>
      <c r="F34" s="385">
        <f>IF(B34&lt;0,0,B34*E34/365)</f>
        <v>71506.849315068495</v>
      </c>
    </row>
    <row r="35" spans="1:8" ht="15.6" x14ac:dyDescent="0.3">
      <c r="A35" s="315">
        <f t="shared" si="1"/>
        <v>46233</v>
      </c>
      <c r="B35" s="330">
        <v>200000000</v>
      </c>
      <c r="C35" s="337">
        <v>1.15E-2</v>
      </c>
      <c r="D35" s="337">
        <v>0.11899999999999999</v>
      </c>
      <c r="E35" s="244">
        <f>+D35+C35</f>
        <v>0.1305</v>
      </c>
      <c r="F35" s="385">
        <f>IF(B35&lt;0,0,B35*E35/365)</f>
        <v>71506.849315068495</v>
      </c>
    </row>
    <row r="36" spans="1:8" ht="15.6" x14ac:dyDescent="0.3">
      <c r="A36" s="315">
        <f t="shared" si="1"/>
        <v>46234</v>
      </c>
      <c r="B36" s="330">
        <v>200000000</v>
      </c>
      <c r="C36" s="337">
        <v>1.15E-2</v>
      </c>
      <c r="D36" s="337">
        <v>0.11899999999999999</v>
      </c>
      <c r="E36" s="244">
        <f>+D36+C36</f>
        <v>0.1305</v>
      </c>
      <c r="F36" s="385">
        <f>IF(B36&lt;0,0,B36*E36/365)</f>
        <v>71506.849315068495</v>
      </c>
    </row>
    <row r="37" spans="1:8" ht="15.6" x14ac:dyDescent="0.3">
      <c r="A37" s="31"/>
      <c r="B37" s="247"/>
      <c r="C37" s="246"/>
      <c r="D37" s="1013" t="s">
        <v>14</v>
      </c>
      <c r="E37" s="1013"/>
      <c r="F37" s="248">
        <f>SUM(F6:F36)</f>
        <v>2216712.3287671227</v>
      </c>
      <c r="G37" s="525"/>
      <c r="H37" s="48"/>
    </row>
    <row r="38" spans="1:8" ht="15.6" x14ac:dyDescent="0.3">
      <c r="A38" s="940"/>
      <c r="B38" s="940"/>
      <c r="C38" s="940"/>
      <c r="D38" s="940"/>
      <c r="E38" s="940"/>
      <c r="F38" s="940"/>
      <c r="G38" s="582"/>
    </row>
    <row r="39" spans="1:8" ht="15.6" x14ac:dyDescent="0.3">
      <c r="B39" s="245"/>
      <c r="C39" s="245"/>
      <c r="D39" s="735" t="s">
        <v>22</v>
      </c>
      <c r="F39" s="3"/>
    </row>
    <row r="40" spans="1:8" ht="15.6" x14ac:dyDescent="0.3">
      <c r="B40" s="31"/>
      <c r="C40" s="31"/>
      <c r="D40" s="237"/>
      <c r="E40" s="228"/>
      <c r="F40" s="214" t="s">
        <v>0</v>
      </c>
    </row>
    <row r="41" spans="1:8" ht="17.399999999999999" x14ac:dyDescent="0.3">
      <c r="A41" s="356" t="s">
        <v>257</v>
      </c>
      <c r="B41" s="357" t="s">
        <v>270</v>
      </c>
      <c r="C41" s="31"/>
      <c r="D41" s="237" t="s">
        <v>15</v>
      </c>
      <c r="F41" s="220">
        <v>2145205.479452054</v>
      </c>
      <c r="G41" s="707"/>
    </row>
    <row r="42" spans="1:8" ht="17.399999999999999" x14ac:dyDescent="0.3">
      <c r="A42" s="766">
        <v>30000793</v>
      </c>
      <c r="B42" s="346" t="s">
        <v>270</v>
      </c>
      <c r="C42" s="31"/>
      <c r="D42" s="237" t="s">
        <v>28</v>
      </c>
      <c r="E42" s="21"/>
      <c r="F42" s="215"/>
      <c r="G42" s="847"/>
      <c r="H42" s="708"/>
    </row>
    <row r="43" spans="1:8" ht="15.6" x14ac:dyDescent="0.3">
      <c r="B43" s="235"/>
      <c r="C43" s="235"/>
      <c r="D43" s="848" t="str">
        <f>IF(F43&lt;0,"Excess Provision to be Reversed","Additional Provision Required")</f>
        <v>Additional Provision Required</v>
      </c>
      <c r="E43" s="351"/>
      <c r="F43" s="233">
        <f>IF(F42=0,0,F42-F41)</f>
        <v>0</v>
      </c>
      <c r="G43" s="213"/>
    </row>
    <row r="44" spans="1:8" ht="15.6" x14ac:dyDescent="0.3">
      <c r="B44" s="3"/>
      <c r="C44" s="3"/>
      <c r="D44" s="237"/>
      <c r="E44" s="21"/>
      <c r="F44" s="21"/>
    </row>
    <row r="45" spans="1:8" ht="16.2" thickBot="1" x14ac:dyDescent="0.35">
      <c r="B45" s="139"/>
      <c r="C45" s="139"/>
      <c r="D45" s="229" t="s">
        <v>199</v>
      </c>
      <c r="E45" s="229"/>
      <c r="F45" s="217">
        <f>+F37+F43</f>
        <v>2216712.3287671227</v>
      </c>
    </row>
    <row r="46" spans="1:8" ht="15.6" x14ac:dyDescent="0.3">
      <c r="B46" s="940"/>
      <c r="C46" s="940"/>
      <c r="D46" s="940"/>
      <c r="E46" s="940"/>
      <c r="F46" s="940"/>
    </row>
    <row r="47" spans="1:8" ht="15.6" x14ac:dyDescent="0.3">
      <c r="A47" s="3"/>
      <c r="B47" s="139"/>
      <c r="C47" s="139"/>
      <c r="D47" s="230" t="s">
        <v>31</v>
      </c>
      <c r="E47" s="230"/>
      <c r="F47" s="220">
        <f>F41+F45-F42</f>
        <v>4361917.8082191767</v>
      </c>
    </row>
    <row r="48" spans="1:8" x14ac:dyDescent="0.25">
      <c r="A48" s="542" t="s">
        <v>318</v>
      </c>
    </row>
    <row r="49" spans="1:1" x14ac:dyDescent="0.25">
      <c r="A49">
        <v>40000026</v>
      </c>
    </row>
    <row r="67" spans="4:4" s="58" customFormat="1" x14ac:dyDescent="0.25">
      <c r="D67" s="736"/>
    </row>
    <row r="68" spans="4:4" s="52" customFormat="1" x14ac:dyDescent="0.25">
      <c r="D68" s="737"/>
    </row>
    <row r="69" spans="4:4" s="52" customFormat="1" x14ac:dyDescent="0.25">
      <c r="D69" s="737"/>
    </row>
    <row r="70" spans="4:4" s="52" customFormat="1" x14ac:dyDescent="0.25">
      <c r="D70" s="737"/>
    </row>
    <row r="71" spans="4:4" s="52" customFormat="1" x14ac:dyDescent="0.25">
      <c r="D71" s="737"/>
    </row>
    <row r="72" spans="4:4" s="52" customFormat="1" x14ac:dyDescent="0.25">
      <c r="D72" s="737"/>
    </row>
    <row r="73" spans="4:4" s="52" customFormat="1" x14ac:dyDescent="0.25">
      <c r="D73" s="737"/>
    </row>
    <row r="74" spans="4:4" s="52" customFormat="1" x14ac:dyDescent="0.25">
      <c r="D74" s="737"/>
    </row>
    <row r="75" spans="4:4" s="52" customFormat="1" x14ac:dyDescent="0.25">
      <c r="D75" s="737"/>
    </row>
    <row r="76" spans="4:4" s="52" customFormat="1" x14ac:dyDescent="0.25">
      <c r="D76" s="737"/>
    </row>
    <row r="77" spans="4:4" s="52" customFormat="1" x14ac:dyDescent="0.25">
      <c r="D77" s="737"/>
    </row>
    <row r="78" spans="4:4" s="52" customFormat="1" x14ac:dyDescent="0.25">
      <c r="D78" s="737"/>
    </row>
    <row r="79" spans="4:4" s="52" customFormat="1" x14ac:dyDescent="0.25">
      <c r="D79" s="737"/>
    </row>
    <row r="80" spans="4:4" s="52" customFormat="1" x14ac:dyDescent="0.25">
      <c r="D80" s="737"/>
    </row>
    <row r="81" spans="4:4" s="52" customFormat="1" x14ac:dyDescent="0.25">
      <c r="D81" s="737"/>
    </row>
    <row r="82" spans="4:4" s="52" customFormat="1" x14ac:dyDescent="0.25">
      <c r="D82" s="737"/>
    </row>
    <row r="83" spans="4:4" s="52" customFormat="1" x14ac:dyDescent="0.25">
      <c r="D83" s="737"/>
    </row>
    <row r="84" spans="4:4" s="52" customFormat="1" x14ac:dyDescent="0.25">
      <c r="D84" s="737"/>
    </row>
    <row r="85" spans="4:4" s="52" customFormat="1" x14ac:dyDescent="0.25">
      <c r="D85" s="737"/>
    </row>
    <row r="86" spans="4:4" s="52" customFormat="1" x14ac:dyDescent="0.25">
      <c r="D86" s="737"/>
    </row>
    <row r="87" spans="4:4" s="52" customFormat="1" x14ac:dyDescent="0.25">
      <c r="D87" s="737"/>
    </row>
    <row r="88" spans="4:4" s="52" customFormat="1" x14ac:dyDescent="0.25">
      <c r="D88" s="737"/>
    </row>
    <row r="89" spans="4:4" s="52" customFormat="1" x14ac:dyDescent="0.25">
      <c r="D89" s="737"/>
    </row>
    <row r="90" spans="4:4" s="52" customFormat="1" x14ac:dyDescent="0.25">
      <c r="D90" s="737"/>
    </row>
    <row r="91" spans="4:4" s="52" customFormat="1" x14ac:dyDescent="0.25">
      <c r="D91" s="737"/>
    </row>
    <row r="92" spans="4:4" s="52" customFormat="1" x14ac:dyDescent="0.25">
      <c r="D92" s="737"/>
    </row>
    <row r="93" spans="4:4" s="52" customFormat="1" x14ac:dyDescent="0.25">
      <c r="D93" s="737"/>
    </row>
  </sheetData>
  <mergeCells count="11">
    <mergeCell ref="D37:E37"/>
    <mergeCell ref="A38:F38"/>
    <mergeCell ref="B46:F46"/>
    <mergeCell ref="A1:F1"/>
    <mergeCell ref="A3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72D9-FE0D-42FB-A2DE-666B6EDEBCA0}">
  <dimension ref="A1:H93"/>
  <sheetViews>
    <sheetView topLeftCell="A26" zoomScaleNormal="100" workbookViewId="0">
      <selection activeCell="F41" sqref="F41"/>
    </sheetView>
  </sheetViews>
  <sheetFormatPr defaultColWidth="8.6328125" defaultRowHeight="15" x14ac:dyDescent="0.25"/>
  <cols>
    <col min="1" max="1" width="9.81640625" customWidth="1"/>
    <col min="2" max="2" width="12.26953125" bestFit="1" customWidth="1"/>
    <col min="3" max="3" width="7.08984375" customWidth="1"/>
    <col min="4" max="4" width="8.6328125" style="350" customWidth="1"/>
    <col min="5" max="5" width="11.36328125" customWidth="1"/>
    <col min="6" max="6" width="11.08984375" customWidth="1"/>
    <col min="7" max="7" width="18.6328125" bestFit="1" customWidth="1"/>
    <col min="8" max="8" width="18.26953125" bestFit="1" customWidth="1"/>
  </cols>
  <sheetData>
    <row r="1" spans="1:6" ht="18" x14ac:dyDescent="0.35">
      <c r="A1" s="941" t="s">
        <v>35</v>
      </c>
      <c r="B1" s="941"/>
      <c r="C1" s="941"/>
      <c r="D1" s="941"/>
      <c r="E1" s="941"/>
      <c r="F1" s="941"/>
    </row>
    <row r="2" spans="1:6" ht="18.600000000000001" thickBot="1" x14ac:dyDescent="0.4">
      <c r="A2" s="8" t="s">
        <v>156</v>
      </c>
      <c r="B2" s="47"/>
      <c r="C2" s="47"/>
      <c r="D2" s="822"/>
      <c r="E2" s="47"/>
      <c r="F2" s="27">
        <f>'FINANCIAL COST SUMMARY'!K2</f>
        <v>46204</v>
      </c>
    </row>
    <row r="3" spans="1:6" ht="15.6" x14ac:dyDescent="0.3">
      <c r="A3" s="956"/>
      <c r="B3" s="956"/>
      <c r="C3" s="956"/>
      <c r="D3" s="956"/>
      <c r="E3" s="956"/>
      <c r="F3" s="956"/>
    </row>
    <row r="4" spans="1:6" s="227" customFormat="1" ht="15.6" customHeight="1" x14ac:dyDescent="0.25">
      <c r="A4" s="1005" t="s">
        <v>2</v>
      </c>
      <c r="B4" s="1007" t="s">
        <v>167</v>
      </c>
      <c r="C4" s="1008" t="s">
        <v>168</v>
      </c>
      <c r="D4" s="1010" t="s">
        <v>55</v>
      </c>
      <c r="E4" s="1010" t="s">
        <v>169</v>
      </c>
      <c r="F4" s="984" t="s">
        <v>171</v>
      </c>
    </row>
    <row r="5" spans="1:6" s="227" customFormat="1" ht="13.2" customHeight="1" x14ac:dyDescent="0.25">
      <c r="A5" s="1006"/>
      <c r="B5" s="1007"/>
      <c r="C5" s="1009"/>
      <c r="D5" s="1011"/>
      <c r="E5" s="1011"/>
      <c r="F5" s="1012"/>
    </row>
    <row r="6" spans="1:6" ht="15.6" x14ac:dyDescent="0.3">
      <c r="A6" s="6">
        <v>46204</v>
      </c>
      <c r="B6" s="44">
        <v>200000000</v>
      </c>
      <c r="C6" s="337">
        <v>1.15E-2</v>
      </c>
      <c r="D6" s="337">
        <v>0.11899999999999999</v>
      </c>
      <c r="E6" s="244">
        <f>+D6+C6</f>
        <v>0.1305</v>
      </c>
      <c r="F6" s="385">
        <f>IF(B6&lt;0,0,B6*E6/365)</f>
        <v>71506.849315068495</v>
      </c>
    </row>
    <row r="7" spans="1:6" ht="15.6" x14ac:dyDescent="0.3">
      <c r="A7" s="6">
        <f>+A6+1</f>
        <v>46205</v>
      </c>
      <c r="B7" s="44">
        <v>200000000</v>
      </c>
      <c r="C7" s="337">
        <v>1.15E-2</v>
      </c>
      <c r="D7" s="337">
        <v>0.11899999999999999</v>
      </c>
      <c r="E7" s="244">
        <f t="shared" ref="E7:E32" si="0">+D7+C7</f>
        <v>0.1305</v>
      </c>
      <c r="F7" s="385">
        <f t="shared" ref="F7:F32" si="1">IF(B7&lt;0,0,B7*E7/365)</f>
        <v>71506.849315068495</v>
      </c>
    </row>
    <row r="8" spans="1:6" ht="15.6" x14ac:dyDescent="0.3">
      <c r="A8" s="6">
        <f t="shared" ref="A8:A36" si="2">+A7+1</f>
        <v>46206</v>
      </c>
      <c r="B8" s="44">
        <v>200000000</v>
      </c>
      <c r="C8" s="337">
        <v>1.15E-2</v>
      </c>
      <c r="D8" s="337">
        <v>0.11899999999999999</v>
      </c>
      <c r="E8" s="244">
        <f t="shared" si="0"/>
        <v>0.1305</v>
      </c>
      <c r="F8" s="385">
        <f t="shared" si="1"/>
        <v>71506.849315068495</v>
      </c>
    </row>
    <row r="9" spans="1:6" ht="15.6" x14ac:dyDescent="0.3">
      <c r="A9" s="6">
        <f t="shared" si="2"/>
        <v>46207</v>
      </c>
      <c r="B9" s="44">
        <v>200000000</v>
      </c>
      <c r="C9" s="337">
        <v>1.15E-2</v>
      </c>
      <c r="D9" s="337">
        <v>0.11899999999999999</v>
      </c>
      <c r="E9" s="244">
        <f t="shared" si="0"/>
        <v>0.1305</v>
      </c>
      <c r="F9" s="385">
        <f t="shared" si="1"/>
        <v>71506.849315068495</v>
      </c>
    </row>
    <row r="10" spans="1:6" ht="15.6" x14ac:dyDescent="0.3">
      <c r="A10" s="6">
        <f t="shared" si="2"/>
        <v>46208</v>
      </c>
      <c r="B10" s="44">
        <v>200000000</v>
      </c>
      <c r="C10" s="337">
        <v>1.15E-2</v>
      </c>
      <c r="D10" s="337">
        <v>0.11899999999999999</v>
      </c>
      <c r="E10" s="244">
        <f t="shared" si="0"/>
        <v>0.1305</v>
      </c>
      <c r="F10" s="385">
        <f t="shared" si="1"/>
        <v>71506.849315068495</v>
      </c>
    </row>
    <row r="11" spans="1:6" ht="15.6" x14ac:dyDescent="0.3">
      <c r="A11" s="6">
        <f t="shared" si="2"/>
        <v>46209</v>
      </c>
      <c r="B11" s="44">
        <v>200000000</v>
      </c>
      <c r="C11" s="337">
        <v>1.15E-2</v>
      </c>
      <c r="D11" s="337">
        <v>0.11899999999999999</v>
      </c>
      <c r="E11" s="244">
        <f t="shared" si="0"/>
        <v>0.1305</v>
      </c>
      <c r="F11" s="385">
        <f t="shared" si="1"/>
        <v>71506.849315068495</v>
      </c>
    </row>
    <row r="12" spans="1:6" ht="15.6" x14ac:dyDescent="0.3">
      <c r="A12" s="6">
        <f t="shared" si="2"/>
        <v>46210</v>
      </c>
      <c r="B12" s="44">
        <v>200000000</v>
      </c>
      <c r="C12" s="337">
        <v>1.15E-2</v>
      </c>
      <c r="D12" s="337">
        <v>0.11899999999999999</v>
      </c>
      <c r="E12" s="244">
        <f t="shared" si="0"/>
        <v>0.1305</v>
      </c>
      <c r="F12" s="385">
        <f t="shared" si="1"/>
        <v>71506.849315068495</v>
      </c>
    </row>
    <row r="13" spans="1:6" ht="15.6" x14ac:dyDescent="0.3">
      <c r="A13" s="6">
        <f t="shared" si="2"/>
        <v>46211</v>
      </c>
      <c r="B13" s="44">
        <v>200000000</v>
      </c>
      <c r="C13" s="337">
        <v>1.15E-2</v>
      </c>
      <c r="D13" s="337">
        <v>0.11899999999999999</v>
      </c>
      <c r="E13" s="244">
        <f t="shared" si="0"/>
        <v>0.1305</v>
      </c>
      <c r="F13" s="385">
        <f t="shared" si="1"/>
        <v>71506.849315068495</v>
      </c>
    </row>
    <row r="14" spans="1:6" ht="15.6" x14ac:dyDescent="0.3">
      <c r="A14" s="6">
        <f t="shared" si="2"/>
        <v>46212</v>
      </c>
      <c r="B14" s="44">
        <v>200000000</v>
      </c>
      <c r="C14" s="337">
        <v>1.15E-2</v>
      </c>
      <c r="D14" s="337">
        <v>0.11899999999999999</v>
      </c>
      <c r="E14" s="244">
        <f t="shared" si="0"/>
        <v>0.1305</v>
      </c>
      <c r="F14" s="385">
        <f t="shared" si="1"/>
        <v>71506.849315068495</v>
      </c>
    </row>
    <row r="15" spans="1:6" ht="15.6" x14ac:dyDescent="0.3">
      <c r="A15" s="6">
        <f t="shared" si="2"/>
        <v>46213</v>
      </c>
      <c r="B15" s="44">
        <v>200000000</v>
      </c>
      <c r="C15" s="337">
        <v>1.15E-2</v>
      </c>
      <c r="D15" s="337">
        <v>0.11899999999999999</v>
      </c>
      <c r="E15" s="244">
        <f t="shared" si="0"/>
        <v>0.1305</v>
      </c>
      <c r="F15" s="385">
        <f t="shared" si="1"/>
        <v>71506.849315068495</v>
      </c>
    </row>
    <row r="16" spans="1:6" ht="15.6" x14ac:dyDescent="0.3">
      <c r="A16" s="6">
        <f t="shared" si="2"/>
        <v>46214</v>
      </c>
      <c r="B16" s="44">
        <v>200000000</v>
      </c>
      <c r="C16" s="337">
        <v>1.15E-2</v>
      </c>
      <c r="D16" s="337">
        <v>0.11899999999999999</v>
      </c>
      <c r="E16" s="244">
        <f t="shared" si="0"/>
        <v>0.1305</v>
      </c>
      <c r="F16" s="385">
        <f t="shared" si="1"/>
        <v>71506.849315068495</v>
      </c>
    </row>
    <row r="17" spans="1:7" ht="15.6" x14ac:dyDescent="0.3">
      <c r="A17" s="6">
        <f t="shared" si="2"/>
        <v>46215</v>
      </c>
      <c r="B17" s="44">
        <v>200000000</v>
      </c>
      <c r="C17" s="337">
        <v>1.15E-2</v>
      </c>
      <c r="D17" s="337">
        <v>0.11899999999999999</v>
      </c>
      <c r="E17" s="244">
        <f t="shared" si="0"/>
        <v>0.1305</v>
      </c>
      <c r="F17" s="385">
        <f t="shared" si="1"/>
        <v>71506.849315068495</v>
      </c>
    </row>
    <row r="18" spans="1:7" ht="15.6" x14ac:dyDescent="0.3">
      <c r="A18" s="6">
        <f t="shared" si="2"/>
        <v>46216</v>
      </c>
      <c r="B18" s="44">
        <v>200000000</v>
      </c>
      <c r="C18" s="337">
        <v>1.15E-2</v>
      </c>
      <c r="D18" s="337">
        <v>0.11899999999999999</v>
      </c>
      <c r="E18" s="244">
        <f t="shared" si="0"/>
        <v>0.1305</v>
      </c>
      <c r="F18" s="385">
        <f t="shared" si="1"/>
        <v>71506.849315068495</v>
      </c>
    </row>
    <row r="19" spans="1:7" ht="15.6" x14ac:dyDescent="0.3">
      <c r="A19" s="6">
        <f t="shared" si="2"/>
        <v>46217</v>
      </c>
      <c r="B19" s="44">
        <v>200000000</v>
      </c>
      <c r="C19" s="337">
        <v>1.15E-2</v>
      </c>
      <c r="D19" s="337">
        <v>0.11899999999999999</v>
      </c>
      <c r="E19" s="244">
        <f t="shared" si="0"/>
        <v>0.1305</v>
      </c>
      <c r="F19" s="385">
        <f t="shared" si="1"/>
        <v>71506.849315068495</v>
      </c>
    </row>
    <row r="20" spans="1:7" ht="15.6" x14ac:dyDescent="0.3">
      <c r="A20" s="6">
        <f t="shared" si="2"/>
        <v>46218</v>
      </c>
      <c r="B20" s="44">
        <v>200000000</v>
      </c>
      <c r="C20" s="337">
        <v>1.15E-2</v>
      </c>
      <c r="D20" s="337">
        <v>0.11899999999999999</v>
      </c>
      <c r="E20" s="244">
        <f t="shared" si="0"/>
        <v>0.1305</v>
      </c>
      <c r="F20" s="385">
        <f t="shared" si="1"/>
        <v>71506.849315068495</v>
      </c>
    </row>
    <row r="21" spans="1:7" ht="15.6" x14ac:dyDescent="0.3">
      <c r="A21" s="6">
        <f t="shared" si="2"/>
        <v>46219</v>
      </c>
      <c r="B21" s="44">
        <v>200000000</v>
      </c>
      <c r="C21" s="337">
        <v>1.15E-2</v>
      </c>
      <c r="D21" s="337">
        <v>0.11899999999999999</v>
      </c>
      <c r="E21" s="244">
        <f t="shared" si="0"/>
        <v>0.1305</v>
      </c>
      <c r="F21" s="385">
        <f t="shared" si="1"/>
        <v>71506.849315068495</v>
      </c>
    </row>
    <row r="22" spans="1:7" ht="15.6" x14ac:dyDescent="0.3">
      <c r="A22" s="6">
        <f t="shared" si="2"/>
        <v>46220</v>
      </c>
      <c r="B22" s="44">
        <v>200000000</v>
      </c>
      <c r="C22" s="337">
        <v>1.15E-2</v>
      </c>
      <c r="D22" s="337">
        <v>0.11899999999999999</v>
      </c>
      <c r="E22" s="244">
        <f t="shared" si="0"/>
        <v>0.1305</v>
      </c>
      <c r="F22" s="385">
        <f t="shared" si="1"/>
        <v>71506.849315068495</v>
      </c>
    </row>
    <row r="23" spans="1:7" ht="15.6" x14ac:dyDescent="0.3">
      <c r="A23" s="6">
        <f t="shared" si="2"/>
        <v>46221</v>
      </c>
      <c r="B23" s="44">
        <v>200000000</v>
      </c>
      <c r="C23" s="337">
        <v>1.15E-2</v>
      </c>
      <c r="D23" s="337">
        <v>0.11899999999999999</v>
      </c>
      <c r="E23" s="244">
        <f t="shared" si="0"/>
        <v>0.1305</v>
      </c>
      <c r="F23" s="385">
        <f t="shared" si="1"/>
        <v>71506.849315068495</v>
      </c>
    </row>
    <row r="24" spans="1:7" ht="15.6" x14ac:dyDescent="0.3">
      <c r="A24" s="6">
        <f t="shared" si="2"/>
        <v>46222</v>
      </c>
      <c r="B24" s="44">
        <v>200000000</v>
      </c>
      <c r="C24" s="337">
        <v>1.15E-2</v>
      </c>
      <c r="D24" s="337">
        <v>0.11899999999999999</v>
      </c>
      <c r="E24" s="244">
        <f t="shared" si="0"/>
        <v>0.1305</v>
      </c>
      <c r="F24" s="385">
        <f t="shared" si="1"/>
        <v>71506.849315068495</v>
      </c>
    </row>
    <row r="25" spans="1:7" s="350" customFormat="1" ht="15.6" x14ac:dyDescent="0.3">
      <c r="A25" s="315">
        <f t="shared" si="2"/>
        <v>46223</v>
      </c>
      <c r="B25" s="44">
        <v>200000000</v>
      </c>
      <c r="C25" s="337">
        <v>1.15E-2</v>
      </c>
      <c r="D25" s="337">
        <v>0.11899999999999999</v>
      </c>
      <c r="E25" s="337">
        <f>+D25+C25</f>
        <v>0.1305</v>
      </c>
      <c r="F25" s="385">
        <f t="shared" si="1"/>
        <v>71506.849315068495</v>
      </c>
    </row>
    <row r="26" spans="1:7" ht="15.6" x14ac:dyDescent="0.3">
      <c r="A26" s="6">
        <f t="shared" si="2"/>
        <v>46224</v>
      </c>
      <c r="B26" s="44">
        <v>200000000</v>
      </c>
      <c r="C26" s="337">
        <v>1.15E-2</v>
      </c>
      <c r="D26" s="337">
        <v>0.11899999999999999</v>
      </c>
      <c r="E26" s="244">
        <f t="shared" si="0"/>
        <v>0.1305</v>
      </c>
      <c r="F26" s="385">
        <f t="shared" si="1"/>
        <v>71506.849315068495</v>
      </c>
    </row>
    <row r="27" spans="1:7" ht="15.6" x14ac:dyDescent="0.3">
      <c r="A27" s="6">
        <f t="shared" si="2"/>
        <v>46225</v>
      </c>
      <c r="B27" s="44">
        <v>200000000</v>
      </c>
      <c r="C27" s="337">
        <v>1.15E-2</v>
      </c>
      <c r="D27" s="337">
        <v>0.11899999999999999</v>
      </c>
      <c r="E27" s="244">
        <f t="shared" si="0"/>
        <v>0.1305</v>
      </c>
      <c r="F27" s="385">
        <f t="shared" si="1"/>
        <v>71506.849315068495</v>
      </c>
    </row>
    <row r="28" spans="1:7" ht="15.6" x14ac:dyDescent="0.3">
      <c r="A28" s="6">
        <f t="shared" si="2"/>
        <v>46226</v>
      </c>
      <c r="B28" s="44">
        <v>200000000</v>
      </c>
      <c r="C28" s="337">
        <v>1.15E-2</v>
      </c>
      <c r="D28" s="337">
        <v>0.11899999999999999</v>
      </c>
      <c r="E28" s="244">
        <f t="shared" si="0"/>
        <v>0.1305</v>
      </c>
      <c r="F28" s="385">
        <f t="shared" si="1"/>
        <v>71506.849315068495</v>
      </c>
      <c r="G28" s="55"/>
    </row>
    <row r="29" spans="1:7" ht="15.6" x14ac:dyDescent="0.3">
      <c r="A29" s="6">
        <f t="shared" si="2"/>
        <v>46227</v>
      </c>
      <c r="B29" s="44">
        <v>200000000</v>
      </c>
      <c r="C29" s="337">
        <v>1.15E-2</v>
      </c>
      <c r="D29" s="337">
        <v>0.11899999999999999</v>
      </c>
      <c r="E29" s="244">
        <f t="shared" si="0"/>
        <v>0.1305</v>
      </c>
      <c r="F29" s="385">
        <f t="shared" si="1"/>
        <v>71506.849315068495</v>
      </c>
    </row>
    <row r="30" spans="1:7" ht="15.6" x14ac:dyDescent="0.3">
      <c r="A30" s="315">
        <f t="shared" si="2"/>
        <v>46228</v>
      </c>
      <c r="B30" s="44">
        <v>200000000</v>
      </c>
      <c r="C30" s="337">
        <v>1.15E-2</v>
      </c>
      <c r="D30" s="337">
        <v>0.11899999999999999</v>
      </c>
      <c r="E30" s="244">
        <f t="shared" si="0"/>
        <v>0.1305</v>
      </c>
      <c r="F30" s="385">
        <f t="shared" si="1"/>
        <v>71506.849315068495</v>
      </c>
    </row>
    <row r="31" spans="1:7" s="350" customFormat="1" ht="15.6" x14ac:dyDescent="0.3">
      <c r="A31" s="315">
        <f t="shared" si="2"/>
        <v>46229</v>
      </c>
      <c r="B31" s="44">
        <v>200000000</v>
      </c>
      <c r="C31" s="337">
        <v>1.15E-2</v>
      </c>
      <c r="D31" s="337">
        <v>0.11899999999999999</v>
      </c>
      <c r="E31" s="337">
        <f t="shared" si="0"/>
        <v>0.1305</v>
      </c>
      <c r="F31" s="385">
        <f t="shared" si="1"/>
        <v>71506.849315068495</v>
      </c>
    </row>
    <row r="32" spans="1:7" ht="15.6" x14ac:dyDescent="0.3">
      <c r="A32" s="315">
        <f t="shared" si="2"/>
        <v>46230</v>
      </c>
      <c r="B32" s="44">
        <v>200000000</v>
      </c>
      <c r="C32" s="337">
        <v>1.15E-2</v>
      </c>
      <c r="D32" s="337">
        <v>0.11899999999999999</v>
      </c>
      <c r="E32" s="244">
        <f t="shared" si="0"/>
        <v>0.1305</v>
      </c>
      <c r="F32" s="385">
        <f t="shared" si="1"/>
        <v>71506.849315068495</v>
      </c>
    </row>
    <row r="33" spans="1:8" ht="15.6" x14ac:dyDescent="0.3">
      <c r="A33" s="315">
        <f t="shared" si="2"/>
        <v>46231</v>
      </c>
      <c r="B33" s="44">
        <v>200000000</v>
      </c>
      <c r="C33" s="337">
        <v>1.15E-2</v>
      </c>
      <c r="D33" s="337">
        <v>0.11899999999999999</v>
      </c>
      <c r="E33" s="244">
        <f>+D33+C33</f>
        <v>0.1305</v>
      </c>
      <c r="F33" s="385">
        <f>IF(B33&lt;0,0,B33*E33/365)</f>
        <v>71506.849315068495</v>
      </c>
    </row>
    <row r="34" spans="1:8" ht="15.6" x14ac:dyDescent="0.3">
      <c r="A34" s="315">
        <f t="shared" si="2"/>
        <v>46232</v>
      </c>
      <c r="B34" s="44">
        <v>200000000</v>
      </c>
      <c r="C34" s="337">
        <v>1.15E-2</v>
      </c>
      <c r="D34" s="337">
        <v>0.11899999999999999</v>
      </c>
      <c r="E34" s="244">
        <f>+D34+C34</f>
        <v>0.1305</v>
      </c>
      <c r="F34" s="385">
        <f>IF(B34&lt;0,0,B34*E34/365)</f>
        <v>71506.849315068495</v>
      </c>
    </row>
    <row r="35" spans="1:8" ht="15.6" x14ac:dyDescent="0.3">
      <c r="A35" s="315">
        <f t="shared" si="2"/>
        <v>46233</v>
      </c>
      <c r="B35" s="44">
        <v>200000000</v>
      </c>
      <c r="C35" s="337">
        <v>1.15E-2</v>
      </c>
      <c r="D35" s="337">
        <v>0.11899999999999999</v>
      </c>
      <c r="E35" s="244">
        <f>+D35+C35</f>
        <v>0.1305</v>
      </c>
      <c r="F35" s="385">
        <f>IF(B35&lt;0,0,B35*E35/365)</f>
        <v>71506.849315068495</v>
      </c>
    </row>
    <row r="36" spans="1:8" ht="15.6" x14ac:dyDescent="0.3">
      <c r="A36" s="315">
        <f t="shared" si="2"/>
        <v>46234</v>
      </c>
      <c r="B36" s="44">
        <v>200000000</v>
      </c>
      <c r="C36" s="337">
        <v>1.15E-2</v>
      </c>
      <c r="D36" s="337">
        <v>0.11899999999999999</v>
      </c>
      <c r="E36" s="244">
        <f>+D36+C36</f>
        <v>0.1305</v>
      </c>
      <c r="F36" s="385">
        <f>IF(B36&lt;0,0,B36*E36/365)</f>
        <v>71506.849315068495</v>
      </c>
    </row>
    <row r="37" spans="1:8" ht="15.6" x14ac:dyDescent="0.3">
      <c r="A37" s="31"/>
      <c r="B37" s="247"/>
      <c r="C37" s="246"/>
      <c r="D37" s="1013" t="s">
        <v>14</v>
      </c>
      <c r="E37" s="1013"/>
      <c r="F37" s="762">
        <f>SUM(F6:F36)</f>
        <v>2216712.3287671227</v>
      </c>
      <c r="G37" s="525"/>
      <c r="H37" s="48"/>
    </row>
    <row r="38" spans="1:8" ht="15.6" x14ac:dyDescent="0.3">
      <c r="A38" s="940"/>
      <c r="B38" s="940"/>
      <c r="C38" s="940"/>
      <c r="D38" s="940"/>
      <c r="E38" s="940"/>
      <c r="F38" s="940"/>
    </row>
    <row r="39" spans="1:8" ht="15.6" x14ac:dyDescent="0.3">
      <c r="B39" s="245"/>
      <c r="C39" s="245"/>
      <c r="D39" s="735" t="s">
        <v>22</v>
      </c>
      <c r="F39" s="3"/>
    </row>
    <row r="40" spans="1:8" ht="15.6" x14ac:dyDescent="0.3">
      <c r="B40" s="31"/>
      <c r="C40" s="31"/>
      <c r="D40" s="237"/>
      <c r="E40" s="228"/>
      <c r="F40" s="214" t="s">
        <v>0</v>
      </c>
    </row>
    <row r="41" spans="1:8" ht="15.6" x14ac:dyDescent="0.3">
      <c r="A41" s="356" t="s">
        <v>257</v>
      </c>
      <c r="B41" s="357" t="s">
        <v>270</v>
      </c>
      <c r="C41" s="31"/>
      <c r="D41" s="237" t="s">
        <v>15</v>
      </c>
      <c r="F41" s="220">
        <v>2145205.479452054</v>
      </c>
      <c r="G41" s="352"/>
    </row>
    <row r="42" spans="1:8" ht="17.399999999999999" x14ac:dyDescent="0.3">
      <c r="A42">
        <v>30000856</v>
      </c>
      <c r="B42" s="346" t="s">
        <v>270</v>
      </c>
      <c r="C42" s="31"/>
      <c r="D42" s="237" t="s">
        <v>28</v>
      </c>
      <c r="E42" s="21"/>
      <c r="F42" s="215"/>
      <c r="G42" s="847"/>
      <c r="H42" s="708"/>
    </row>
    <row r="43" spans="1:8" ht="15.6" x14ac:dyDescent="0.3">
      <c r="B43" s="235"/>
      <c r="C43" s="235"/>
      <c r="D43" s="848" t="str">
        <f>IF(F43&lt;0,"Excess Provision to be Reversed","Additional Provision Required")</f>
        <v>Additional Provision Required</v>
      </c>
      <c r="E43" s="351"/>
      <c r="F43" s="233">
        <f>IF(F42=0,0,F42-F41)</f>
        <v>0</v>
      </c>
      <c r="G43" s="213"/>
    </row>
    <row r="44" spans="1:8" ht="15.6" x14ac:dyDescent="0.3">
      <c r="B44" s="3"/>
      <c r="C44" s="3"/>
      <c r="D44" s="237"/>
      <c r="E44" s="21"/>
      <c r="F44" s="21"/>
    </row>
    <row r="45" spans="1:8" ht="16.2" thickBot="1" x14ac:dyDescent="0.35">
      <c r="B45" s="139"/>
      <c r="C45" s="139"/>
      <c r="D45" s="229" t="s">
        <v>199</v>
      </c>
      <c r="E45" s="229"/>
      <c r="F45" s="217">
        <f>+F37+F43</f>
        <v>2216712.3287671227</v>
      </c>
    </row>
    <row r="46" spans="1:8" ht="15.6" x14ac:dyDescent="0.3">
      <c r="B46" s="940"/>
      <c r="C46" s="940"/>
      <c r="D46" s="940"/>
      <c r="E46" s="940"/>
      <c r="F46" s="940"/>
    </row>
    <row r="47" spans="1:8" ht="15.6" x14ac:dyDescent="0.3">
      <c r="A47" s="3"/>
      <c r="B47" s="139"/>
      <c r="C47" s="139"/>
      <c r="D47" s="230" t="s">
        <v>31</v>
      </c>
      <c r="E47" s="230"/>
      <c r="F47" s="220">
        <f>F41+F45-F42</f>
        <v>4361917.8082191767</v>
      </c>
    </row>
    <row r="48" spans="1:8" x14ac:dyDescent="0.25">
      <c r="A48" s="542" t="s">
        <v>318</v>
      </c>
    </row>
    <row r="49" spans="1:1" x14ac:dyDescent="0.25">
      <c r="A49">
        <v>40000026</v>
      </c>
    </row>
    <row r="67" spans="4:4" s="58" customFormat="1" x14ac:dyDescent="0.25">
      <c r="D67" s="736"/>
    </row>
    <row r="68" spans="4:4" s="52" customFormat="1" x14ac:dyDescent="0.25">
      <c r="D68" s="737"/>
    </row>
    <row r="69" spans="4:4" s="52" customFormat="1" x14ac:dyDescent="0.25">
      <c r="D69" s="737"/>
    </row>
    <row r="70" spans="4:4" s="52" customFormat="1" x14ac:dyDescent="0.25">
      <c r="D70" s="737"/>
    </row>
    <row r="71" spans="4:4" s="52" customFormat="1" x14ac:dyDescent="0.25">
      <c r="D71" s="737"/>
    </row>
    <row r="72" spans="4:4" s="52" customFormat="1" x14ac:dyDescent="0.25">
      <c r="D72" s="737"/>
    </row>
    <row r="73" spans="4:4" s="52" customFormat="1" x14ac:dyDescent="0.25">
      <c r="D73" s="737"/>
    </row>
    <row r="74" spans="4:4" s="52" customFormat="1" x14ac:dyDescent="0.25">
      <c r="D74" s="737"/>
    </row>
    <row r="75" spans="4:4" s="52" customFormat="1" x14ac:dyDescent="0.25">
      <c r="D75" s="737"/>
    </row>
    <row r="76" spans="4:4" s="52" customFormat="1" x14ac:dyDescent="0.25">
      <c r="D76" s="737"/>
    </row>
    <row r="77" spans="4:4" s="52" customFormat="1" x14ac:dyDescent="0.25">
      <c r="D77" s="737"/>
    </row>
    <row r="78" spans="4:4" s="52" customFormat="1" x14ac:dyDescent="0.25">
      <c r="D78" s="737"/>
    </row>
    <row r="79" spans="4:4" s="52" customFormat="1" x14ac:dyDescent="0.25">
      <c r="D79" s="737"/>
    </row>
    <row r="80" spans="4:4" s="52" customFormat="1" x14ac:dyDescent="0.25">
      <c r="D80" s="737"/>
    </row>
    <row r="81" spans="4:4" s="52" customFormat="1" x14ac:dyDescent="0.25">
      <c r="D81" s="737"/>
    </row>
    <row r="82" spans="4:4" s="52" customFormat="1" x14ac:dyDescent="0.25">
      <c r="D82" s="737"/>
    </row>
    <row r="83" spans="4:4" s="52" customFormat="1" x14ac:dyDescent="0.25">
      <c r="D83" s="737"/>
    </row>
    <row r="84" spans="4:4" s="52" customFormat="1" x14ac:dyDescent="0.25">
      <c r="D84" s="737"/>
    </row>
    <row r="85" spans="4:4" s="52" customFormat="1" x14ac:dyDescent="0.25">
      <c r="D85" s="737"/>
    </row>
    <row r="86" spans="4:4" s="52" customFormat="1" x14ac:dyDescent="0.25">
      <c r="D86" s="737"/>
    </row>
    <row r="87" spans="4:4" s="52" customFormat="1" x14ac:dyDescent="0.25">
      <c r="D87" s="737"/>
    </row>
    <row r="88" spans="4:4" s="52" customFormat="1" x14ac:dyDescent="0.25">
      <c r="D88" s="737"/>
    </row>
    <row r="89" spans="4:4" s="52" customFormat="1" x14ac:dyDescent="0.25">
      <c r="D89" s="737"/>
    </row>
    <row r="90" spans="4:4" s="52" customFormat="1" x14ac:dyDescent="0.25">
      <c r="D90" s="737"/>
    </row>
    <row r="91" spans="4:4" s="52" customFormat="1" x14ac:dyDescent="0.25">
      <c r="D91" s="737"/>
    </row>
    <row r="92" spans="4:4" s="52" customFormat="1" x14ac:dyDescent="0.25">
      <c r="D92" s="737"/>
    </row>
    <row r="93" spans="4:4" s="52" customFormat="1" x14ac:dyDescent="0.25">
      <c r="D93" s="737"/>
    </row>
  </sheetData>
  <mergeCells count="11">
    <mergeCell ref="D37:E37"/>
    <mergeCell ref="A38:F38"/>
    <mergeCell ref="B46:F46"/>
    <mergeCell ref="A1:F1"/>
    <mergeCell ref="A3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B611-ABBA-4612-95CA-D9C9B86118E9}">
  <sheetPr>
    <tabColor theme="0"/>
    <pageSetUpPr fitToPage="1"/>
  </sheetPr>
  <dimension ref="A1:G92"/>
  <sheetViews>
    <sheetView showGridLines="0" topLeftCell="A67" zoomScaleNormal="100" zoomScaleSheetLayoutView="90" workbookViewId="0">
      <selection activeCell="A82" sqref="A82:C82"/>
    </sheetView>
  </sheetViews>
  <sheetFormatPr defaultColWidth="10.6328125" defaultRowHeight="13.8" x14ac:dyDescent="0.3"/>
  <cols>
    <col min="1" max="1" width="15.1796875" style="3" customWidth="1"/>
    <col min="2" max="2" width="13.453125" style="331" customWidth="1"/>
    <col min="3" max="3" width="11.90625" style="3" bestFit="1" customWidth="1"/>
    <col min="4" max="4" width="12.81640625" style="331" bestFit="1" customWidth="1"/>
    <col min="5" max="5" width="11" style="3" bestFit="1" customWidth="1"/>
    <col min="6" max="6" width="3.26953125" style="3" customWidth="1"/>
    <col min="7" max="7" width="7.81640625" style="3" bestFit="1" customWidth="1"/>
    <col min="8" max="16384" width="10.6328125" style="3"/>
  </cols>
  <sheetData>
    <row r="1" spans="1:7" ht="18" x14ac:dyDescent="0.35">
      <c r="A1" s="941" t="s">
        <v>35</v>
      </c>
      <c r="B1" s="941"/>
      <c r="C1" s="941"/>
      <c r="D1" s="403"/>
    </row>
    <row r="2" spans="1:7" ht="18.600000000000001" thickBot="1" x14ac:dyDescent="0.4">
      <c r="A2" s="47" t="s">
        <v>34</v>
      </c>
      <c r="B2" s="822"/>
      <c r="C2" s="27">
        <f>'FINANCIAL COST SUMMARY'!K2</f>
        <v>46204</v>
      </c>
      <c r="D2" s="406"/>
    </row>
    <row r="3" spans="1:7" x14ac:dyDescent="0.3">
      <c r="A3" s="942"/>
      <c r="B3" s="942"/>
      <c r="C3" s="942"/>
      <c r="D3" s="407"/>
    </row>
    <row r="4" spans="1:7" s="31" customFormat="1" x14ac:dyDescent="0.3">
      <c r="A4" s="1014" t="s">
        <v>19</v>
      </c>
      <c r="B4" s="1014"/>
      <c r="C4" s="1014"/>
      <c r="D4" s="408"/>
    </row>
    <row r="5" spans="1:7" s="45" customFormat="1" ht="41.4" x14ac:dyDescent="0.3">
      <c r="A5" s="51" t="s">
        <v>2</v>
      </c>
      <c r="B5" s="314" t="s">
        <v>381</v>
      </c>
      <c r="C5" s="73" t="s">
        <v>0</v>
      </c>
      <c r="D5" s="409"/>
    </row>
    <row r="6" spans="1:7" x14ac:dyDescent="0.3">
      <c r="A6" s="6">
        <v>46204</v>
      </c>
      <c r="B6" s="304">
        <v>0</v>
      </c>
      <c r="C6" s="33">
        <f t="shared" ref="C6:C36" si="0">SUM(B6:B6)</f>
        <v>0</v>
      </c>
      <c r="D6" s="405"/>
      <c r="E6" s="76">
        <v>46156</v>
      </c>
      <c r="F6" s="3">
        <v>120</v>
      </c>
      <c r="G6" s="76">
        <f>+E6+F6</f>
        <v>46276</v>
      </c>
    </row>
    <row r="7" spans="1:7" x14ac:dyDescent="0.3">
      <c r="A7" s="6">
        <f>+A6+1</f>
        <v>46205</v>
      </c>
      <c r="B7" s="304">
        <v>0</v>
      </c>
      <c r="C7" s="33">
        <f t="shared" si="0"/>
        <v>0</v>
      </c>
      <c r="D7" s="405"/>
    </row>
    <row r="8" spans="1:7" x14ac:dyDescent="0.3">
      <c r="A8" s="6">
        <f t="shared" ref="A8:A36" si="1">+A7+1</f>
        <v>46206</v>
      </c>
      <c r="B8" s="304">
        <v>0</v>
      </c>
      <c r="C8" s="33">
        <f t="shared" si="0"/>
        <v>0</v>
      </c>
      <c r="D8" s="405"/>
    </row>
    <row r="9" spans="1:7" x14ac:dyDescent="0.3">
      <c r="A9" s="6">
        <f t="shared" si="1"/>
        <v>46207</v>
      </c>
      <c r="B9" s="304">
        <v>0</v>
      </c>
      <c r="C9" s="33">
        <f t="shared" si="0"/>
        <v>0</v>
      </c>
      <c r="D9" s="405"/>
      <c r="E9" s="2"/>
      <c r="F9" s="2"/>
    </row>
    <row r="10" spans="1:7" x14ac:dyDescent="0.3">
      <c r="A10" s="315">
        <f t="shared" si="1"/>
        <v>46208</v>
      </c>
      <c r="B10" s="304">
        <v>0</v>
      </c>
      <c r="C10" s="33">
        <f t="shared" si="0"/>
        <v>0</v>
      </c>
      <c r="D10" s="405"/>
      <c r="E10" s="2"/>
      <c r="F10" s="2"/>
    </row>
    <row r="11" spans="1:7" x14ac:dyDescent="0.3">
      <c r="A11" s="6">
        <f t="shared" si="1"/>
        <v>46209</v>
      </c>
      <c r="B11" s="304">
        <v>0</v>
      </c>
      <c r="C11" s="33">
        <f t="shared" si="0"/>
        <v>0</v>
      </c>
      <c r="D11" s="405"/>
      <c r="E11" s="2"/>
      <c r="F11" s="2"/>
    </row>
    <row r="12" spans="1:7" x14ac:dyDescent="0.3">
      <c r="A12" s="6">
        <f t="shared" si="1"/>
        <v>46210</v>
      </c>
      <c r="B12" s="304">
        <v>0</v>
      </c>
      <c r="C12" s="33">
        <f t="shared" si="0"/>
        <v>0</v>
      </c>
      <c r="D12" s="405"/>
      <c r="E12" s="2"/>
      <c r="F12" s="2"/>
    </row>
    <row r="13" spans="1:7" x14ac:dyDescent="0.3">
      <c r="A13" s="315">
        <f t="shared" si="1"/>
        <v>46211</v>
      </c>
      <c r="B13" s="304">
        <v>0</v>
      </c>
      <c r="C13" s="33">
        <f t="shared" si="0"/>
        <v>0</v>
      </c>
      <c r="D13" s="405"/>
      <c r="E13" s="2"/>
      <c r="F13" s="2"/>
    </row>
    <row r="14" spans="1:7" x14ac:dyDescent="0.3">
      <c r="A14" s="315">
        <f t="shared" si="1"/>
        <v>46212</v>
      </c>
      <c r="B14" s="304">
        <v>0</v>
      </c>
      <c r="C14" s="33">
        <f t="shared" si="0"/>
        <v>0</v>
      </c>
      <c r="D14" s="405"/>
      <c r="E14" s="2"/>
      <c r="F14" s="2"/>
    </row>
    <row r="15" spans="1:7" x14ac:dyDescent="0.3">
      <c r="A15" s="315">
        <f t="shared" si="1"/>
        <v>46213</v>
      </c>
      <c r="B15" s="304">
        <v>0</v>
      </c>
      <c r="C15" s="33">
        <f t="shared" si="0"/>
        <v>0</v>
      </c>
      <c r="D15" s="405"/>
      <c r="E15" s="2"/>
      <c r="F15" s="2"/>
    </row>
    <row r="16" spans="1:7" x14ac:dyDescent="0.3">
      <c r="A16" s="315">
        <f t="shared" si="1"/>
        <v>46214</v>
      </c>
      <c r="B16" s="304">
        <v>0</v>
      </c>
      <c r="C16" s="33">
        <f t="shared" si="0"/>
        <v>0</v>
      </c>
      <c r="D16" s="405"/>
      <c r="E16" s="2"/>
      <c r="F16" s="2"/>
    </row>
    <row r="17" spans="1:6" x14ac:dyDescent="0.3">
      <c r="A17" s="6">
        <f t="shared" si="1"/>
        <v>46215</v>
      </c>
      <c r="B17" s="304">
        <v>0</v>
      </c>
      <c r="C17" s="33">
        <f t="shared" si="0"/>
        <v>0</v>
      </c>
      <c r="D17" s="405"/>
      <c r="E17" s="2"/>
      <c r="F17" s="2"/>
    </row>
    <row r="18" spans="1:6" x14ac:dyDescent="0.3">
      <c r="A18" s="6">
        <f t="shared" si="1"/>
        <v>46216</v>
      </c>
      <c r="B18" s="304">
        <v>0</v>
      </c>
      <c r="C18" s="33">
        <f t="shared" si="0"/>
        <v>0</v>
      </c>
      <c r="D18" s="405"/>
      <c r="E18" s="2"/>
      <c r="F18" s="2"/>
    </row>
    <row r="19" spans="1:6" x14ac:dyDescent="0.3">
      <c r="A19" s="6">
        <f t="shared" si="1"/>
        <v>46217</v>
      </c>
      <c r="B19" s="304">
        <v>0</v>
      </c>
      <c r="C19" s="33">
        <f t="shared" si="0"/>
        <v>0</v>
      </c>
      <c r="D19" s="405"/>
      <c r="E19" s="2"/>
      <c r="F19" s="2"/>
    </row>
    <row r="20" spans="1:6" x14ac:dyDescent="0.3">
      <c r="A20" s="6">
        <f t="shared" si="1"/>
        <v>46218</v>
      </c>
      <c r="B20" s="304">
        <v>0</v>
      </c>
      <c r="C20" s="33">
        <f t="shared" si="0"/>
        <v>0</v>
      </c>
      <c r="D20" s="405"/>
      <c r="E20" s="2"/>
      <c r="F20" s="2"/>
    </row>
    <row r="21" spans="1:6" x14ac:dyDescent="0.3">
      <c r="A21" s="6">
        <f t="shared" si="1"/>
        <v>46219</v>
      </c>
      <c r="B21" s="304">
        <v>0</v>
      </c>
      <c r="C21" s="33">
        <f t="shared" si="0"/>
        <v>0</v>
      </c>
      <c r="D21" s="405"/>
      <c r="E21" s="2"/>
      <c r="F21" s="2"/>
    </row>
    <row r="22" spans="1:6" x14ac:dyDescent="0.3">
      <c r="A22" s="6">
        <f t="shared" si="1"/>
        <v>46220</v>
      </c>
      <c r="B22" s="304">
        <v>0</v>
      </c>
      <c r="C22" s="33">
        <f t="shared" si="0"/>
        <v>0</v>
      </c>
      <c r="D22" s="405"/>
      <c r="E22" s="2"/>
      <c r="F22" s="2"/>
    </row>
    <row r="23" spans="1:6" x14ac:dyDescent="0.3">
      <c r="A23" s="6">
        <f t="shared" si="1"/>
        <v>46221</v>
      </c>
      <c r="B23" s="304">
        <v>0</v>
      </c>
      <c r="C23" s="33">
        <f t="shared" si="0"/>
        <v>0</v>
      </c>
      <c r="D23" s="405"/>
      <c r="E23" s="2"/>
      <c r="F23" s="2"/>
    </row>
    <row r="24" spans="1:6" x14ac:dyDescent="0.3">
      <c r="A24" s="6">
        <f t="shared" si="1"/>
        <v>46222</v>
      </c>
      <c r="B24" s="304">
        <v>0</v>
      </c>
      <c r="C24" s="33">
        <f t="shared" si="0"/>
        <v>0</v>
      </c>
      <c r="D24" s="405"/>
      <c r="E24" s="2"/>
      <c r="F24" s="2"/>
    </row>
    <row r="25" spans="1:6" s="331" customFormat="1" x14ac:dyDescent="0.3">
      <c r="A25" s="315">
        <f t="shared" si="1"/>
        <v>46223</v>
      </c>
      <c r="B25" s="304">
        <v>0</v>
      </c>
      <c r="C25" s="33">
        <f t="shared" si="0"/>
        <v>0</v>
      </c>
      <c r="D25" s="405"/>
      <c r="E25" s="332"/>
      <c r="F25" s="332"/>
    </row>
    <row r="26" spans="1:6" x14ac:dyDescent="0.3">
      <c r="A26" s="6">
        <f t="shared" si="1"/>
        <v>46224</v>
      </c>
      <c r="B26" s="304">
        <v>0</v>
      </c>
      <c r="C26" s="33">
        <f t="shared" si="0"/>
        <v>0</v>
      </c>
      <c r="D26" s="405"/>
      <c r="E26" s="2"/>
      <c r="F26" s="2"/>
    </row>
    <row r="27" spans="1:6" x14ac:dyDescent="0.3">
      <c r="A27" s="6">
        <f t="shared" si="1"/>
        <v>46225</v>
      </c>
      <c r="B27" s="304">
        <v>0</v>
      </c>
      <c r="C27" s="33">
        <f t="shared" si="0"/>
        <v>0</v>
      </c>
      <c r="D27" s="405"/>
      <c r="E27" s="2"/>
      <c r="F27" s="2"/>
    </row>
    <row r="28" spans="1:6" x14ac:dyDescent="0.3">
      <c r="A28" s="6">
        <f t="shared" si="1"/>
        <v>46226</v>
      </c>
      <c r="B28" s="304">
        <v>0</v>
      </c>
      <c r="C28" s="33">
        <f t="shared" si="0"/>
        <v>0</v>
      </c>
      <c r="D28" s="405"/>
      <c r="E28" s="2"/>
      <c r="F28" s="2"/>
    </row>
    <row r="29" spans="1:6" x14ac:dyDescent="0.3">
      <c r="A29" s="6">
        <f t="shared" si="1"/>
        <v>46227</v>
      </c>
      <c r="B29" s="304">
        <v>0</v>
      </c>
      <c r="C29" s="33">
        <f t="shared" si="0"/>
        <v>0</v>
      </c>
      <c r="D29" s="405"/>
      <c r="E29" s="2"/>
      <c r="F29" s="2"/>
    </row>
    <row r="30" spans="1:6" x14ac:dyDescent="0.3">
      <c r="A30" s="6">
        <f t="shared" si="1"/>
        <v>46228</v>
      </c>
      <c r="B30" s="304">
        <v>0</v>
      </c>
      <c r="C30" s="33">
        <f t="shared" si="0"/>
        <v>0</v>
      </c>
      <c r="D30" s="405"/>
    </row>
    <row r="31" spans="1:6" x14ac:dyDescent="0.3">
      <c r="A31" s="6">
        <f t="shared" si="1"/>
        <v>46229</v>
      </c>
      <c r="B31" s="304">
        <v>0</v>
      </c>
      <c r="C31" s="33">
        <f t="shared" si="0"/>
        <v>0</v>
      </c>
      <c r="D31" s="405"/>
    </row>
    <row r="32" spans="1:6" x14ac:dyDescent="0.3">
      <c r="A32" s="6">
        <f t="shared" si="1"/>
        <v>46230</v>
      </c>
      <c r="B32" s="304">
        <v>0</v>
      </c>
      <c r="C32" s="33">
        <f t="shared" si="0"/>
        <v>0</v>
      </c>
      <c r="D32" s="405"/>
    </row>
    <row r="33" spans="1:4" x14ac:dyDescent="0.3">
      <c r="A33" s="6">
        <f t="shared" si="1"/>
        <v>46231</v>
      </c>
      <c r="B33" s="304">
        <v>0</v>
      </c>
      <c r="C33" s="33">
        <f t="shared" si="0"/>
        <v>0</v>
      </c>
      <c r="D33" s="405"/>
    </row>
    <row r="34" spans="1:4" x14ac:dyDescent="0.3">
      <c r="A34" s="6">
        <f t="shared" si="1"/>
        <v>46232</v>
      </c>
      <c r="B34" s="304">
        <v>0</v>
      </c>
      <c r="C34" s="33">
        <f t="shared" si="0"/>
        <v>0</v>
      </c>
      <c r="D34" s="405"/>
    </row>
    <row r="35" spans="1:4" x14ac:dyDescent="0.3">
      <c r="A35" s="6">
        <f t="shared" si="1"/>
        <v>46233</v>
      </c>
      <c r="B35" s="304">
        <v>0</v>
      </c>
      <c r="C35" s="33">
        <f t="shared" si="0"/>
        <v>0</v>
      </c>
      <c r="D35" s="405"/>
    </row>
    <row r="36" spans="1:4" x14ac:dyDescent="0.3">
      <c r="A36" s="6">
        <f t="shared" si="1"/>
        <v>46234</v>
      </c>
      <c r="B36" s="304">
        <v>0</v>
      </c>
      <c r="C36" s="33">
        <f t="shared" si="0"/>
        <v>0</v>
      </c>
      <c r="D36" s="405"/>
    </row>
    <row r="37" spans="1:4" x14ac:dyDescent="0.3">
      <c r="A37" s="939"/>
      <c r="B37" s="939"/>
      <c r="C37" s="939"/>
      <c r="D37" s="404"/>
    </row>
    <row r="38" spans="1:4" x14ac:dyDescent="0.3">
      <c r="A38" s="943" t="s">
        <v>56</v>
      </c>
      <c r="B38" s="943"/>
      <c r="C38" s="943"/>
      <c r="D38" s="408"/>
    </row>
    <row r="39" spans="1:4" s="45" customFormat="1" ht="41.4" x14ac:dyDescent="0.3">
      <c r="A39" s="51" t="s">
        <v>2</v>
      </c>
      <c r="B39" s="56" t="str">
        <f>B5</f>
        <v>LD2603310210
(C.D 02.02.2026, M.D 02.06.2026)</v>
      </c>
      <c r="C39" s="73" t="s">
        <v>0</v>
      </c>
      <c r="D39" s="409"/>
    </row>
    <row r="40" spans="1:4" s="91" customFormat="1" ht="41.4" x14ac:dyDescent="0.25">
      <c r="A40" s="88" t="s">
        <v>273</v>
      </c>
      <c r="B40" s="415">
        <f>10.49%+0.75%</f>
        <v>0.1124</v>
      </c>
      <c r="C40" s="92"/>
      <c r="D40" s="410"/>
    </row>
    <row r="41" spans="1:4" x14ac:dyDescent="0.3">
      <c r="A41" s="6">
        <f t="shared" ref="A41:A70" si="2">+A6</f>
        <v>46204</v>
      </c>
      <c r="B41" s="33">
        <f t="shared" ref="B41:B71" si="3">IF(B6&lt;0,0,B6*B$40/365)</f>
        <v>0</v>
      </c>
      <c r="C41" s="33">
        <f t="shared" ref="C41:C72" si="4">SUM(B41:B41)</f>
        <v>0</v>
      </c>
      <c r="D41" s="405"/>
    </row>
    <row r="42" spans="1:4" x14ac:dyDescent="0.3">
      <c r="A42" s="6">
        <f t="shared" si="2"/>
        <v>46205</v>
      </c>
      <c r="B42" s="33">
        <f t="shared" si="3"/>
        <v>0</v>
      </c>
      <c r="C42" s="33">
        <f t="shared" si="4"/>
        <v>0</v>
      </c>
      <c r="D42" s="405"/>
    </row>
    <row r="43" spans="1:4" x14ac:dyDescent="0.3">
      <c r="A43" s="6">
        <f t="shared" si="2"/>
        <v>46206</v>
      </c>
      <c r="B43" s="33">
        <f t="shared" si="3"/>
        <v>0</v>
      </c>
      <c r="C43" s="33">
        <f t="shared" si="4"/>
        <v>0</v>
      </c>
      <c r="D43" s="405"/>
    </row>
    <row r="44" spans="1:4" x14ac:dyDescent="0.3">
      <c r="A44" s="6">
        <f t="shared" si="2"/>
        <v>46207</v>
      </c>
      <c r="B44" s="33">
        <f t="shared" si="3"/>
        <v>0</v>
      </c>
      <c r="C44" s="33">
        <f t="shared" si="4"/>
        <v>0</v>
      </c>
      <c r="D44" s="405"/>
    </row>
    <row r="45" spans="1:4" x14ac:dyDescent="0.3">
      <c r="A45" s="6">
        <f t="shared" si="2"/>
        <v>46208</v>
      </c>
      <c r="B45" s="33">
        <f t="shared" si="3"/>
        <v>0</v>
      </c>
      <c r="C45" s="33">
        <f t="shared" si="4"/>
        <v>0</v>
      </c>
      <c r="D45" s="405"/>
    </row>
    <row r="46" spans="1:4" x14ac:dyDescent="0.3">
      <c r="A46" s="6">
        <f t="shared" si="2"/>
        <v>46209</v>
      </c>
      <c r="B46" s="33">
        <f t="shared" si="3"/>
        <v>0</v>
      </c>
      <c r="C46" s="33">
        <f t="shared" si="4"/>
        <v>0</v>
      </c>
      <c r="D46" s="405"/>
    </row>
    <row r="47" spans="1:4" x14ac:dyDescent="0.3">
      <c r="A47" s="6">
        <f t="shared" si="2"/>
        <v>46210</v>
      </c>
      <c r="B47" s="33">
        <f t="shared" si="3"/>
        <v>0</v>
      </c>
      <c r="C47" s="33">
        <f t="shared" si="4"/>
        <v>0</v>
      </c>
      <c r="D47" s="405"/>
    </row>
    <row r="48" spans="1:4" x14ac:dyDescent="0.3">
      <c r="A48" s="6">
        <f t="shared" si="2"/>
        <v>46211</v>
      </c>
      <c r="B48" s="33">
        <f t="shared" si="3"/>
        <v>0</v>
      </c>
      <c r="C48" s="33">
        <f t="shared" si="4"/>
        <v>0</v>
      </c>
      <c r="D48" s="405"/>
    </row>
    <row r="49" spans="1:4" x14ac:dyDescent="0.3">
      <c r="A49" s="6">
        <f t="shared" si="2"/>
        <v>46212</v>
      </c>
      <c r="B49" s="33">
        <f t="shared" si="3"/>
        <v>0</v>
      </c>
      <c r="C49" s="33">
        <f t="shared" si="4"/>
        <v>0</v>
      </c>
      <c r="D49" s="405"/>
    </row>
    <row r="50" spans="1:4" x14ac:dyDescent="0.3">
      <c r="A50" s="6">
        <f t="shared" si="2"/>
        <v>46213</v>
      </c>
      <c r="B50" s="33">
        <f t="shared" si="3"/>
        <v>0</v>
      </c>
      <c r="C50" s="33">
        <f t="shared" si="4"/>
        <v>0</v>
      </c>
      <c r="D50" s="405"/>
    </row>
    <row r="51" spans="1:4" x14ac:dyDescent="0.3">
      <c r="A51" s="6">
        <f t="shared" si="2"/>
        <v>46214</v>
      </c>
      <c r="B51" s="33">
        <f t="shared" si="3"/>
        <v>0</v>
      </c>
      <c r="C51" s="33">
        <f t="shared" si="4"/>
        <v>0</v>
      </c>
      <c r="D51" s="405"/>
    </row>
    <row r="52" spans="1:4" x14ac:dyDescent="0.3">
      <c r="A52" s="6">
        <f t="shared" si="2"/>
        <v>46215</v>
      </c>
      <c r="B52" s="33">
        <f t="shared" si="3"/>
        <v>0</v>
      </c>
      <c r="C52" s="33">
        <f t="shared" si="4"/>
        <v>0</v>
      </c>
      <c r="D52" s="405"/>
    </row>
    <row r="53" spans="1:4" x14ac:dyDescent="0.3">
      <c r="A53" s="6">
        <f t="shared" si="2"/>
        <v>46216</v>
      </c>
      <c r="B53" s="33">
        <f t="shared" si="3"/>
        <v>0</v>
      </c>
      <c r="C53" s="33">
        <f t="shared" si="4"/>
        <v>0</v>
      </c>
      <c r="D53" s="405"/>
    </row>
    <row r="54" spans="1:4" x14ac:dyDescent="0.3">
      <c r="A54" s="6">
        <f t="shared" si="2"/>
        <v>46217</v>
      </c>
      <c r="B54" s="33">
        <f t="shared" si="3"/>
        <v>0</v>
      </c>
      <c r="C54" s="33">
        <f t="shared" si="4"/>
        <v>0</v>
      </c>
      <c r="D54" s="405"/>
    </row>
    <row r="55" spans="1:4" x14ac:dyDescent="0.3">
      <c r="A55" s="6">
        <f t="shared" si="2"/>
        <v>46218</v>
      </c>
      <c r="B55" s="33">
        <f t="shared" si="3"/>
        <v>0</v>
      </c>
      <c r="C55" s="33">
        <f t="shared" si="4"/>
        <v>0</v>
      </c>
      <c r="D55" s="405"/>
    </row>
    <row r="56" spans="1:4" x14ac:dyDescent="0.3">
      <c r="A56" s="6">
        <f t="shared" si="2"/>
        <v>46219</v>
      </c>
      <c r="B56" s="33">
        <f t="shared" si="3"/>
        <v>0</v>
      </c>
      <c r="C56" s="33">
        <f t="shared" si="4"/>
        <v>0</v>
      </c>
      <c r="D56" s="405"/>
    </row>
    <row r="57" spans="1:4" x14ac:dyDescent="0.3">
      <c r="A57" s="6">
        <f t="shared" si="2"/>
        <v>46220</v>
      </c>
      <c r="B57" s="33">
        <f t="shared" si="3"/>
        <v>0</v>
      </c>
      <c r="C57" s="33">
        <f t="shared" si="4"/>
        <v>0</v>
      </c>
      <c r="D57" s="405"/>
    </row>
    <row r="58" spans="1:4" x14ac:dyDescent="0.3">
      <c r="A58" s="6">
        <f t="shared" si="2"/>
        <v>46221</v>
      </c>
      <c r="B58" s="33">
        <f t="shared" si="3"/>
        <v>0</v>
      </c>
      <c r="C58" s="33">
        <f t="shared" si="4"/>
        <v>0</v>
      </c>
      <c r="D58" s="405"/>
    </row>
    <row r="59" spans="1:4" x14ac:dyDescent="0.3">
      <c r="A59" s="6">
        <f t="shared" si="2"/>
        <v>46222</v>
      </c>
      <c r="B59" s="33">
        <f t="shared" si="3"/>
        <v>0</v>
      </c>
      <c r="C59" s="33">
        <f t="shared" si="4"/>
        <v>0</v>
      </c>
      <c r="D59" s="405"/>
    </row>
    <row r="60" spans="1:4" x14ac:dyDescent="0.3">
      <c r="A60" s="6">
        <f t="shared" si="2"/>
        <v>46223</v>
      </c>
      <c r="B60" s="33">
        <f t="shared" si="3"/>
        <v>0</v>
      </c>
      <c r="C60" s="33">
        <f t="shared" si="4"/>
        <v>0</v>
      </c>
      <c r="D60" s="405"/>
    </row>
    <row r="61" spans="1:4" x14ac:dyDescent="0.3">
      <c r="A61" s="6">
        <f t="shared" si="2"/>
        <v>46224</v>
      </c>
      <c r="B61" s="33">
        <f t="shared" si="3"/>
        <v>0</v>
      </c>
      <c r="C61" s="33">
        <f t="shared" si="4"/>
        <v>0</v>
      </c>
      <c r="D61" s="405"/>
    </row>
    <row r="62" spans="1:4" x14ac:dyDescent="0.3">
      <c r="A62" s="6">
        <f t="shared" si="2"/>
        <v>46225</v>
      </c>
      <c r="B62" s="33">
        <f t="shared" si="3"/>
        <v>0</v>
      </c>
      <c r="C62" s="33">
        <f t="shared" si="4"/>
        <v>0</v>
      </c>
      <c r="D62" s="405"/>
    </row>
    <row r="63" spans="1:4" x14ac:dyDescent="0.3">
      <c r="A63" s="6">
        <f t="shared" si="2"/>
        <v>46226</v>
      </c>
      <c r="B63" s="33">
        <f t="shared" si="3"/>
        <v>0</v>
      </c>
      <c r="C63" s="33">
        <f t="shared" si="4"/>
        <v>0</v>
      </c>
      <c r="D63" s="405"/>
    </row>
    <row r="64" spans="1:4" ht="14.4" customHeight="1" x14ac:dyDescent="0.3">
      <c r="A64" s="6">
        <f t="shared" si="2"/>
        <v>46227</v>
      </c>
      <c r="B64" s="33">
        <f t="shared" si="3"/>
        <v>0</v>
      </c>
      <c r="C64" s="33">
        <f t="shared" si="4"/>
        <v>0</v>
      </c>
      <c r="D64" s="405"/>
    </row>
    <row r="65" spans="1:4" x14ac:dyDescent="0.3">
      <c r="A65" s="6">
        <f t="shared" si="2"/>
        <v>46228</v>
      </c>
      <c r="B65" s="33">
        <f t="shared" si="3"/>
        <v>0</v>
      </c>
      <c r="C65" s="33">
        <f t="shared" si="4"/>
        <v>0</v>
      </c>
      <c r="D65" s="405"/>
    </row>
    <row r="66" spans="1:4" x14ac:dyDescent="0.3">
      <c r="A66" s="6">
        <f t="shared" si="2"/>
        <v>46229</v>
      </c>
      <c r="B66" s="33">
        <f t="shared" si="3"/>
        <v>0</v>
      </c>
      <c r="C66" s="33">
        <f t="shared" si="4"/>
        <v>0</v>
      </c>
      <c r="D66" s="405"/>
    </row>
    <row r="67" spans="1:4" x14ac:dyDescent="0.3">
      <c r="A67" s="6">
        <f t="shared" si="2"/>
        <v>46230</v>
      </c>
      <c r="B67" s="33">
        <f t="shared" si="3"/>
        <v>0</v>
      </c>
      <c r="C67" s="33">
        <f t="shared" si="4"/>
        <v>0</v>
      </c>
      <c r="D67" s="405"/>
    </row>
    <row r="68" spans="1:4" x14ac:dyDescent="0.3">
      <c r="A68" s="6">
        <f t="shared" si="2"/>
        <v>46231</v>
      </c>
      <c r="B68" s="33">
        <f t="shared" si="3"/>
        <v>0</v>
      </c>
      <c r="C68" s="33">
        <f t="shared" si="4"/>
        <v>0</v>
      </c>
      <c r="D68" s="405"/>
    </row>
    <row r="69" spans="1:4" x14ac:dyDescent="0.3">
      <c r="A69" s="6">
        <f t="shared" si="2"/>
        <v>46232</v>
      </c>
      <c r="B69" s="33">
        <f t="shared" si="3"/>
        <v>0</v>
      </c>
      <c r="C69" s="33">
        <f t="shared" si="4"/>
        <v>0</v>
      </c>
      <c r="D69" s="405"/>
    </row>
    <row r="70" spans="1:4" x14ac:dyDescent="0.3">
      <c r="A70" s="6">
        <f t="shared" si="2"/>
        <v>46233</v>
      </c>
      <c r="B70" s="33">
        <f t="shared" si="3"/>
        <v>0</v>
      </c>
      <c r="C70" s="33">
        <f t="shared" si="4"/>
        <v>0</v>
      </c>
      <c r="D70" s="405"/>
    </row>
    <row r="71" spans="1:4" x14ac:dyDescent="0.3">
      <c r="A71" s="6">
        <f t="shared" ref="A71" si="5">+A36</f>
        <v>46234</v>
      </c>
      <c r="B71" s="33">
        <f t="shared" si="3"/>
        <v>0</v>
      </c>
      <c r="C71" s="33">
        <f t="shared" si="4"/>
        <v>0</v>
      </c>
      <c r="D71" s="405"/>
    </row>
    <row r="72" spans="1:4" x14ac:dyDescent="0.3">
      <c r="A72" s="305" t="s">
        <v>14</v>
      </c>
      <c r="B72" s="36">
        <f>SUM(B41:B71)</f>
        <v>0</v>
      </c>
      <c r="C72" s="33">
        <f t="shared" si="4"/>
        <v>0</v>
      </c>
      <c r="D72" s="411"/>
    </row>
    <row r="73" spans="1:4" x14ac:dyDescent="0.3">
      <c r="A73" s="940"/>
      <c r="B73" s="940"/>
      <c r="C73" s="940"/>
      <c r="D73" s="404"/>
    </row>
    <row r="74" spans="1:4" x14ac:dyDescent="0.3">
      <c r="A74" s="943" t="s">
        <v>73</v>
      </c>
      <c r="B74" s="943"/>
      <c r="C74" s="943"/>
      <c r="D74" s="408"/>
    </row>
    <row r="75" spans="1:4" s="45" customFormat="1" ht="41.4" x14ac:dyDescent="0.3">
      <c r="A75" s="51" t="s">
        <v>18</v>
      </c>
      <c r="B75" s="56" t="str">
        <f>B5</f>
        <v>LD2603310210
(C.D 02.02.2026, M.D 02.06.2026)</v>
      </c>
      <c r="C75" s="73" t="s">
        <v>0</v>
      </c>
      <c r="D75" s="409"/>
    </row>
    <row r="76" spans="1:4" x14ac:dyDescent="0.3">
      <c r="A76" s="11" t="s">
        <v>15</v>
      </c>
      <c r="B76" s="226">
        <v>0</v>
      </c>
      <c r="C76" s="309">
        <f>SUM(B76:B76)</f>
        <v>0</v>
      </c>
      <c r="D76" s="412"/>
    </row>
    <row r="77" spans="1:4" x14ac:dyDescent="0.3">
      <c r="A77" s="11" t="s">
        <v>16</v>
      </c>
      <c r="B77" s="33">
        <f>B72</f>
        <v>0</v>
      </c>
      <c r="C77" s="309">
        <f>SUM(B77:B77)</f>
        <v>0</v>
      </c>
      <c r="D77" s="412"/>
    </row>
    <row r="78" spans="1:4" x14ac:dyDescent="0.3">
      <c r="A78" s="11" t="s">
        <v>26</v>
      </c>
      <c r="B78" s="226">
        <v>0</v>
      </c>
      <c r="C78" s="309">
        <f>SUM(B78:B78)</f>
        <v>0</v>
      </c>
      <c r="D78" s="405"/>
    </row>
    <row r="79" spans="1:4" x14ac:dyDescent="0.3">
      <c r="A79" s="11" t="s">
        <v>14</v>
      </c>
      <c r="B79" s="33">
        <f>SUM(B76:B78)</f>
        <v>0</v>
      </c>
      <c r="C79" s="309">
        <f>SUM(B79:B79)</f>
        <v>0</v>
      </c>
      <c r="D79" s="405"/>
    </row>
    <row r="80" spans="1:4" x14ac:dyDescent="0.3">
      <c r="A80" s="939"/>
      <c r="B80" s="939"/>
      <c r="C80" s="939"/>
      <c r="D80" s="404"/>
    </row>
    <row r="81" spans="1:4" s="331" customFormat="1" ht="17.399999999999999" x14ac:dyDescent="0.3">
      <c r="A81" s="518" t="s">
        <v>30</v>
      </c>
      <c r="B81" s="151">
        <v>0</v>
      </c>
      <c r="C81" s="701">
        <f>SUM(B81:B81)</f>
        <v>0</v>
      </c>
      <c r="D81" s="707"/>
    </row>
    <row r="82" spans="1:4" x14ac:dyDescent="0.3">
      <c r="A82" s="940"/>
      <c r="B82" s="940"/>
      <c r="C82" s="940"/>
      <c r="D82" s="404"/>
    </row>
    <row r="83" spans="1:4" s="331" customFormat="1" x14ac:dyDescent="0.3">
      <c r="A83" s="518" t="s">
        <v>4</v>
      </c>
      <c r="B83" s="349"/>
      <c r="C83" s="349"/>
      <c r="D83" s="405"/>
    </row>
    <row r="84" spans="1:4" x14ac:dyDescent="0.3">
      <c r="A84" s="940"/>
      <c r="B84" s="940"/>
      <c r="C84" s="940"/>
      <c r="D84" s="404"/>
    </row>
    <row r="85" spans="1:4" x14ac:dyDescent="0.3">
      <c r="A85" s="28" t="s">
        <v>17</v>
      </c>
      <c r="B85" s="38">
        <f>B72+B83+B78</f>
        <v>0</v>
      </c>
      <c r="C85" s="38">
        <f>SUM(B85:B85)</f>
        <v>0</v>
      </c>
      <c r="D85" s="411"/>
    </row>
    <row r="86" spans="1:4" x14ac:dyDescent="0.3">
      <c r="A86" s="940"/>
      <c r="B86" s="940"/>
      <c r="C86" s="940"/>
      <c r="D86" s="404"/>
    </row>
    <row r="87" spans="1:4" x14ac:dyDescent="0.3">
      <c r="A87" s="99" t="s">
        <v>31</v>
      </c>
      <c r="B87" s="108">
        <f>B79+B83-B81</f>
        <v>0</v>
      </c>
      <c r="C87" s="108">
        <f>SUM(B87:B87)</f>
        <v>0</v>
      </c>
      <c r="D87" s="411"/>
    </row>
    <row r="88" spans="1:4" x14ac:dyDescent="0.3">
      <c r="A88" s="322" t="s">
        <v>264</v>
      </c>
      <c r="B88" s="399"/>
    </row>
    <row r="89" spans="1:4" x14ac:dyDescent="0.3">
      <c r="B89" s="872"/>
    </row>
    <row r="91" spans="1:4" x14ac:dyDescent="0.3">
      <c r="A91" s="318" t="s">
        <v>265</v>
      </c>
      <c r="B91" s="322">
        <v>9200000012</v>
      </c>
    </row>
    <row r="92" spans="1:4" x14ac:dyDescent="0.3">
      <c r="A92" s="318" t="s">
        <v>266</v>
      </c>
      <c r="B92" s="322">
        <v>40000023</v>
      </c>
    </row>
  </sheetData>
  <mergeCells count="11">
    <mergeCell ref="A86:C86"/>
    <mergeCell ref="A73:C73"/>
    <mergeCell ref="A74:C74"/>
    <mergeCell ref="A80:C80"/>
    <mergeCell ref="A82:C82"/>
    <mergeCell ref="A84:C84"/>
    <mergeCell ref="A1:C1"/>
    <mergeCell ref="A3:C3"/>
    <mergeCell ref="A4:C4"/>
    <mergeCell ref="A37:C37"/>
    <mergeCell ref="A38:C38"/>
  </mergeCells>
  <phoneticPr fontId="22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40" orientation="landscape" r:id="rId1"/>
  <headerFooter alignWithMargins="0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1E05-0DC4-42B9-B653-1920D03BEBB1}">
  <sheetPr>
    <tabColor theme="0"/>
    <pageSetUpPr fitToPage="1"/>
  </sheetPr>
  <dimension ref="A1:M49"/>
  <sheetViews>
    <sheetView showGridLines="0" topLeftCell="A25" zoomScaleNormal="100" zoomScaleSheetLayoutView="99" workbookViewId="0">
      <selection activeCell="J41" sqref="J41"/>
    </sheetView>
  </sheetViews>
  <sheetFormatPr defaultColWidth="10.6328125" defaultRowHeight="13.8" x14ac:dyDescent="0.3"/>
  <cols>
    <col min="1" max="1" width="9.6328125" style="3" customWidth="1"/>
    <col min="2" max="2" width="12.453125" style="2" customWidth="1"/>
    <col min="3" max="3" width="8.36328125" style="2" customWidth="1"/>
    <col min="4" max="4" width="8.7265625" style="2" customWidth="1"/>
    <col min="5" max="5" width="12" style="2" customWidth="1"/>
    <col min="6" max="6" width="2.36328125" style="3" customWidth="1"/>
    <col min="7" max="7" width="6.08984375" style="3" customWidth="1"/>
    <col min="8" max="8" width="11.36328125" style="331" customWidth="1"/>
    <col min="9" max="9" width="9.08984375" style="3" customWidth="1"/>
    <col min="10" max="10" width="11.1796875" style="3" customWidth="1"/>
    <col min="11" max="11" width="13.08984375" style="3" bestFit="1" customWidth="1"/>
    <col min="12" max="12" width="8.08984375" style="3" bestFit="1" customWidth="1"/>
    <col min="13" max="13" width="13.08984375" style="3" bestFit="1" customWidth="1"/>
    <col min="14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33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96">
        <v>67916646.390000001</v>
      </c>
    </row>
    <row r="4" spans="1:13" ht="15.6" customHeight="1" x14ac:dyDescent="0.3">
      <c r="A4" s="957" t="s">
        <v>2</v>
      </c>
      <c r="B4" s="61" t="s">
        <v>3</v>
      </c>
      <c r="C4" s="62" t="s">
        <v>4</v>
      </c>
      <c r="D4" s="63"/>
      <c r="E4" s="61" t="s">
        <v>5</v>
      </c>
      <c r="G4" s="64" t="s">
        <v>11</v>
      </c>
      <c r="H4" s="1016" t="s">
        <v>274</v>
      </c>
      <c r="I4" s="65" t="s">
        <v>6</v>
      </c>
      <c r="J4" s="66" t="s">
        <v>20</v>
      </c>
    </row>
    <row r="5" spans="1:13" x14ac:dyDescent="0.3">
      <c r="A5" s="958"/>
      <c r="B5" s="856" t="s">
        <v>1</v>
      </c>
      <c r="C5" s="67" t="s">
        <v>7</v>
      </c>
      <c r="D5" s="67" t="s">
        <v>8</v>
      </c>
      <c r="E5" s="67" t="s">
        <v>9</v>
      </c>
      <c r="G5" s="68" t="s">
        <v>12</v>
      </c>
      <c r="H5" s="970"/>
      <c r="I5" s="69" t="s">
        <v>10</v>
      </c>
      <c r="J5" s="70" t="s">
        <v>21</v>
      </c>
    </row>
    <row r="6" spans="1:13" x14ac:dyDescent="0.3">
      <c r="A6" s="592">
        <v>46204</v>
      </c>
      <c r="B6" s="1021">
        <v>67916646.39</v>
      </c>
      <c r="C6" s="593"/>
      <c r="D6" s="42"/>
      <c r="E6" s="54">
        <f>SUM(B6:D6)</f>
        <v>0</v>
      </c>
      <c r="F6" s="31"/>
      <c r="G6" s="587">
        <v>7.4999999999999997E-3</v>
      </c>
      <c r="H6" s="336">
        <v>0.1115</v>
      </c>
      <c r="I6" s="589">
        <f>+H6+G6</f>
        <v>0.11899999999999999</v>
      </c>
      <c r="J6" s="313">
        <f>IF(E6&lt;0,0,E6*I6/365)</f>
        <v>0</v>
      </c>
      <c r="K6" s="115">
        <f>+E6-K3</f>
        <v>-67916646.390000001</v>
      </c>
    </row>
    <row r="7" spans="1:13" x14ac:dyDescent="0.3">
      <c r="A7" s="592">
        <f>+A6+1</f>
        <v>46205</v>
      </c>
      <c r="B7" s="1021">
        <v>4016646.39</v>
      </c>
      <c r="C7" s="593"/>
      <c r="D7" s="42"/>
      <c r="E7" s="54">
        <f t="shared" ref="E7:E32" si="0">SUM(B7:D7)</f>
        <v>0</v>
      </c>
      <c r="F7" s="31"/>
      <c r="G7" s="594">
        <f>+G6</f>
        <v>7.4999999999999997E-3</v>
      </c>
      <c r="H7" s="336">
        <v>0.1115</v>
      </c>
      <c r="I7" s="589">
        <f>+H7+G7</f>
        <v>0.11899999999999999</v>
      </c>
      <c r="J7" s="313">
        <f t="shared" ref="J7:J32" si="1">IF(E7&lt;0,0,E7*I7/365)</f>
        <v>0</v>
      </c>
      <c r="K7" s="114">
        <f>+E7-E6</f>
        <v>0</v>
      </c>
    </row>
    <row r="8" spans="1:13" x14ac:dyDescent="0.3">
      <c r="A8" s="592">
        <f t="shared" ref="A8:A36" si="2">+A7+1</f>
        <v>46206</v>
      </c>
      <c r="B8" s="1021">
        <v>7310306.39</v>
      </c>
      <c r="C8" s="593"/>
      <c r="D8" s="42"/>
      <c r="E8" s="54">
        <f t="shared" si="0"/>
        <v>0</v>
      </c>
      <c r="F8" s="31"/>
      <c r="G8" s="594">
        <f t="shared" ref="G8:G23" si="3">+G7</f>
        <v>7.4999999999999997E-3</v>
      </c>
      <c r="H8" s="336">
        <v>0.1115</v>
      </c>
      <c r="I8" s="589">
        <f t="shared" ref="I8:I32" si="4">+H8+G8</f>
        <v>0.11899999999999999</v>
      </c>
      <c r="J8" s="313">
        <f t="shared" si="1"/>
        <v>0</v>
      </c>
      <c r="K8" s="114">
        <f>+E8-E7</f>
        <v>0</v>
      </c>
    </row>
    <row r="9" spans="1:13" x14ac:dyDescent="0.3">
      <c r="A9" s="592">
        <f t="shared" si="2"/>
        <v>46207</v>
      </c>
      <c r="B9" s="1021">
        <v>7310306.39</v>
      </c>
      <c r="C9" s="593"/>
      <c r="D9" s="42"/>
      <c r="E9" s="54">
        <f t="shared" si="0"/>
        <v>0</v>
      </c>
      <c r="F9" s="31"/>
      <c r="G9" s="594">
        <f t="shared" si="3"/>
        <v>7.4999999999999997E-3</v>
      </c>
      <c r="H9" s="336">
        <v>0.1115</v>
      </c>
      <c r="I9" s="589">
        <f t="shared" si="4"/>
        <v>0.11899999999999999</v>
      </c>
      <c r="J9" s="313">
        <f t="shared" si="1"/>
        <v>0</v>
      </c>
      <c r="K9" s="114">
        <f>+E9-E8</f>
        <v>0</v>
      </c>
    </row>
    <row r="10" spans="1:13" x14ac:dyDescent="0.3">
      <c r="A10" s="592">
        <f t="shared" si="2"/>
        <v>46208</v>
      </c>
      <c r="B10" s="1021">
        <v>7310306.39</v>
      </c>
      <c r="C10" s="591"/>
      <c r="D10" s="54"/>
      <c r="E10" s="54">
        <f t="shared" si="0"/>
        <v>0</v>
      </c>
      <c r="F10" s="31"/>
      <c r="G10" s="594">
        <f t="shared" si="3"/>
        <v>7.4999999999999997E-3</v>
      </c>
      <c r="H10" s="336">
        <v>0.1115</v>
      </c>
      <c r="I10" s="589">
        <f t="shared" si="4"/>
        <v>0.11899999999999999</v>
      </c>
      <c r="J10" s="313">
        <f t="shared" si="1"/>
        <v>0</v>
      </c>
      <c r="K10" s="114">
        <f>+E10-E9</f>
        <v>0</v>
      </c>
    </row>
    <row r="11" spans="1:13" x14ac:dyDescent="0.3">
      <c r="A11" s="592">
        <f t="shared" si="2"/>
        <v>46209</v>
      </c>
      <c r="B11" s="1021">
        <v>7310306.39</v>
      </c>
      <c r="C11" s="591"/>
      <c r="D11" s="54"/>
      <c r="E11" s="54">
        <f>SUM(B11:D11)</f>
        <v>0</v>
      </c>
      <c r="F11" s="31"/>
      <c r="G11" s="594">
        <f t="shared" si="3"/>
        <v>7.4999999999999997E-3</v>
      </c>
      <c r="H11" s="336">
        <v>0.1115</v>
      </c>
      <c r="I11" s="589">
        <f t="shared" si="4"/>
        <v>0.11899999999999999</v>
      </c>
      <c r="J11" s="313">
        <f t="shared" si="1"/>
        <v>0</v>
      </c>
      <c r="K11" s="114">
        <f t="shared" ref="K11:K32" si="5">+E11-E10</f>
        <v>0</v>
      </c>
    </row>
    <row r="12" spans="1:13" x14ac:dyDescent="0.3">
      <c r="A12" s="592">
        <f t="shared" si="2"/>
        <v>46210</v>
      </c>
      <c r="B12" s="96">
        <v>0</v>
      </c>
      <c r="C12" s="591"/>
      <c r="D12" s="54"/>
      <c r="E12" s="54">
        <f t="shared" si="0"/>
        <v>0</v>
      </c>
      <c r="F12" s="31"/>
      <c r="G12" s="594">
        <f t="shared" si="3"/>
        <v>7.4999999999999997E-3</v>
      </c>
      <c r="H12" s="336">
        <v>0.1115</v>
      </c>
      <c r="I12" s="589">
        <f t="shared" si="4"/>
        <v>0.11899999999999999</v>
      </c>
      <c r="J12" s="313">
        <f t="shared" si="1"/>
        <v>0</v>
      </c>
      <c r="K12" s="114">
        <f t="shared" si="5"/>
        <v>0</v>
      </c>
    </row>
    <row r="13" spans="1:13" x14ac:dyDescent="0.3">
      <c r="A13" s="592">
        <f t="shared" si="2"/>
        <v>46211</v>
      </c>
      <c r="B13" s="96">
        <v>0</v>
      </c>
      <c r="C13" s="591"/>
      <c r="D13" s="54"/>
      <c r="E13" s="54">
        <f t="shared" si="0"/>
        <v>0</v>
      </c>
      <c r="F13" s="31"/>
      <c r="G13" s="594">
        <f t="shared" si="3"/>
        <v>7.4999999999999997E-3</v>
      </c>
      <c r="H13" s="336">
        <v>0.1115</v>
      </c>
      <c r="I13" s="589">
        <f t="shared" si="4"/>
        <v>0.11899999999999999</v>
      </c>
      <c r="J13" s="313">
        <f t="shared" si="1"/>
        <v>0</v>
      </c>
      <c r="K13" s="114">
        <f t="shared" si="5"/>
        <v>0</v>
      </c>
    </row>
    <row r="14" spans="1:13" x14ac:dyDescent="0.3">
      <c r="A14" s="592">
        <f t="shared" si="2"/>
        <v>46212</v>
      </c>
      <c r="B14" s="96">
        <v>0</v>
      </c>
      <c r="C14" s="591"/>
      <c r="D14" s="54"/>
      <c r="E14" s="54">
        <f t="shared" si="0"/>
        <v>0</v>
      </c>
      <c r="F14" s="31"/>
      <c r="G14" s="594">
        <f t="shared" si="3"/>
        <v>7.4999999999999997E-3</v>
      </c>
      <c r="H14" s="336">
        <v>0.1115</v>
      </c>
      <c r="I14" s="589">
        <f t="shared" si="4"/>
        <v>0.11899999999999999</v>
      </c>
      <c r="J14" s="313">
        <f t="shared" si="1"/>
        <v>0</v>
      </c>
      <c r="K14" s="114">
        <f t="shared" si="5"/>
        <v>0</v>
      </c>
    </row>
    <row r="15" spans="1:13" x14ac:dyDescent="0.3">
      <c r="A15" s="592">
        <f t="shared" si="2"/>
        <v>46213</v>
      </c>
      <c r="B15" s="96">
        <v>0</v>
      </c>
      <c r="C15" s="591"/>
      <c r="D15" s="54"/>
      <c r="E15" s="54">
        <f t="shared" si="0"/>
        <v>0</v>
      </c>
      <c r="F15" s="31"/>
      <c r="G15" s="594">
        <f t="shared" si="3"/>
        <v>7.4999999999999997E-3</v>
      </c>
      <c r="H15" s="336">
        <v>0.1115</v>
      </c>
      <c r="I15" s="589">
        <f t="shared" si="4"/>
        <v>0.11899999999999999</v>
      </c>
      <c r="J15" s="313">
        <f t="shared" si="1"/>
        <v>0</v>
      </c>
      <c r="K15" s="114">
        <f t="shared" si="5"/>
        <v>0</v>
      </c>
    </row>
    <row r="16" spans="1:13" s="331" customFormat="1" x14ac:dyDescent="0.3">
      <c r="A16" s="592">
        <f t="shared" si="2"/>
        <v>46214</v>
      </c>
      <c r="B16" s="96">
        <v>0</v>
      </c>
      <c r="C16" s="591"/>
      <c r="D16" s="54"/>
      <c r="E16" s="54">
        <f t="shared" si="0"/>
        <v>0</v>
      </c>
      <c r="F16" s="31"/>
      <c r="G16" s="594">
        <f t="shared" si="3"/>
        <v>7.4999999999999997E-3</v>
      </c>
      <c r="H16" s="336">
        <v>0.1115</v>
      </c>
      <c r="I16" s="589">
        <f t="shared" si="4"/>
        <v>0.11899999999999999</v>
      </c>
      <c r="J16" s="313">
        <f t="shared" si="1"/>
        <v>0</v>
      </c>
      <c r="K16" s="114">
        <f t="shared" si="5"/>
        <v>0</v>
      </c>
      <c r="M16" s="378"/>
    </row>
    <row r="17" spans="1:13" s="331" customFormat="1" x14ac:dyDescent="0.3">
      <c r="A17" s="592">
        <f t="shared" si="2"/>
        <v>46215</v>
      </c>
      <c r="B17" s="96">
        <v>0</v>
      </c>
      <c r="C17" s="591"/>
      <c r="D17" s="54"/>
      <c r="E17" s="54">
        <f>SUM(B17:D17)</f>
        <v>0</v>
      </c>
      <c r="F17" s="31"/>
      <c r="G17" s="594">
        <f t="shared" si="3"/>
        <v>7.4999999999999997E-3</v>
      </c>
      <c r="H17" s="336">
        <v>0.1115</v>
      </c>
      <c r="I17" s="589">
        <f t="shared" si="4"/>
        <v>0.11899999999999999</v>
      </c>
      <c r="J17" s="313">
        <f t="shared" si="1"/>
        <v>0</v>
      </c>
      <c r="K17" s="114">
        <f t="shared" si="5"/>
        <v>0</v>
      </c>
      <c r="M17" s="378"/>
    </row>
    <row r="18" spans="1:13" s="331" customFormat="1" x14ac:dyDescent="0.3">
      <c r="A18" s="592">
        <f t="shared" si="2"/>
        <v>46216</v>
      </c>
      <c r="B18" s="96">
        <v>0</v>
      </c>
      <c r="C18" s="591"/>
      <c r="D18" s="54"/>
      <c r="E18" s="54">
        <f t="shared" si="0"/>
        <v>0</v>
      </c>
      <c r="F18" s="31"/>
      <c r="G18" s="594">
        <f t="shared" si="3"/>
        <v>7.4999999999999997E-3</v>
      </c>
      <c r="H18" s="336">
        <v>0.1115</v>
      </c>
      <c r="I18" s="589">
        <f t="shared" si="4"/>
        <v>0.11899999999999999</v>
      </c>
      <c r="J18" s="313">
        <f t="shared" si="1"/>
        <v>0</v>
      </c>
      <c r="K18" s="114">
        <f t="shared" si="5"/>
        <v>0</v>
      </c>
    </row>
    <row r="19" spans="1:13" s="331" customFormat="1" x14ac:dyDescent="0.3">
      <c r="A19" s="592">
        <f t="shared" si="2"/>
        <v>46217</v>
      </c>
      <c r="B19" s="96">
        <v>0</v>
      </c>
      <c r="C19" s="591"/>
      <c r="D19" s="54"/>
      <c r="E19" s="54">
        <f t="shared" si="0"/>
        <v>0</v>
      </c>
      <c r="F19" s="31"/>
      <c r="G19" s="594">
        <f t="shared" si="3"/>
        <v>7.4999999999999997E-3</v>
      </c>
      <c r="H19" s="336">
        <v>0.1115</v>
      </c>
      <c r="I19" s="589">
        <f t="shared" si="4"/>
        <v>0.11899999999999999</v>
      </c>
      <c r="J19" s="313">
        <f t="shared" si="1"/>
        <v>0</v>
      </c>
      <c r="K19" s="114">
        <f t="shared" si="5"/>
        <v>0</v>
      </c>
    </row>
    <row r="20" spans="1:13" x14ac:dyDescent="0.3">
      <c r="A20" s="592">
        <f t="shared" si="2"/>
        <v>46218</v>
      </c>
      <c r="B20" s="96">
        <v>0</v>
      </c>
      <c r="C20" s="591"/>
      <c r="D20" s="54"/>
      <c r="E20" s="54">
        <f t="shared" si="0"/>
        <v>0</v>
      </c>
      <c r="F20" s="31"/>
      <c r="G20" s="594">
        <f t="shared" si="3"/>
        <v>7.4999999999999997E-3</v>
      </c>
      <c r="H20" s="336">
        <v>0.1115</v>
      </c>
      <c r="I20" s="589">
        <f t="shared" si="4"/>
        <v>0.11899999999999999</v>
      </c>
      <c r="J20" s="313">
        <f t="shared" si="1"/>
        <v>0</v>
      </c>
      <c r="K20" s="114">
        <f t="shared" si="5"/>
        <v>0</v>
      </c>
    </row>
    <row r="21" spans="1:13" x14ac:dyDescent="0.3">
      <c r="A21" s="592">
        <f t="shared" si="2"/>
        <v>46219</v>
      </c>
      <c r="B21" s="96">
        <v>0</v>
      </c>
      <c r="C21" s="591"/>
      <c r="D21" s="54"/>
      <c r="E21" s="54">
        <f t="shared" si="0"/>
        <v>0</v>
      </c>
      <c r="F21" s="31"/>
      <c r="G21" s="594">
        <f t="shared" si="3"/>
        <v>7.4999999999999997E-3</v>
      </c>
      <c r="H21" s="336">
        <v>0.1115</v>
      </c>
      <c r="I21" s="589">
        <f t="shared" si="4"/>
        <v>0.11899999999999999</v>
      </c>
      <c r="J21" s="313">
        <f t="shared" si="1"/>
        <v>0</v>
      </c>
      <c r="K21" s="114">
        <f t="shared" si="5"/>
        <v>0</v>
      </c>
    </row>
    <row r="22" spans="1:13" s="331" customFormat="1" x14ac:dyDescent="0.3">
      <c r="A22" s="592">
        <f t="shared" si="2"/>
        <v>46220</v>
      </c>
      <c r="B22" s="96">
        <v>0</v>
      </c>
      <c r="C22" s="591"/>
      <c r="D22" s="54"/>
      <c r="E22" s="54">
        <f>SUM(B22:D22)</f>
        <v>0</v>
      </c>
      <c r="F22" s="31"/>
      <c r="G22" s="594">
        <f t="shared" si="3"/>
        <v>7.4999999999999997E-3</v>
      </c>
      <c r="H22" s="336">
        <v>0.1115</v>
      </c>
      <c r="I22" s="589">
        <f t="shared" si="4"/>
        <v>0.11899999999999999</v>
      </c>
      <c r="J22" s="313">
        <f t="shared" si="1"/>
        <v>0</v>
      </c>
      <c r="K22" s="114">
        <f t="shared" si="5"/>
        <v>0</v>
      </c>
    </row>
    <row r="23" spans="1:13" s="331" customFormat="1" x14ac:dyDescent="0.3">
      <c r="A23" s="603">
        <f t="shared" si="2"/>
        <v>46221</v>
      </c>
      <c r="B23" s="96">
        <v>0</v>
      </c>
      <c r="C23" s="414"/>
      <c r="D23" s="381"/>
      <c r="E23" s="381">
        <f t="shared" si="0"/>
        <v>0</v>
      </c>
      <c r="G23" s="595">
        <f t="shared" si="3"/>
        <v>7.4999999999999997E-3</v>
      </c>
      <c r="H23" s="336">
        <v>0.1115</v>
      </c>
      <c r="I23" s="383">
        <f t="shared" si="4"/>
        <v>0.11899999999999999</v>
      </c>
      <c r="J23" s="385">
        <f t="shared" si="1"/>
        <v>0</v>
      </c>
      <c r="K23" s="378">
        <f t="shared" si="5"/>
        <v>0</v>
      </c>
    </row>
    <row r="24" spans="1:13" x14ac:dyDescent="0.3">
      <c r="A24" s="592">
        <f t="shared" si="2"/>
        <v>46222</v>
      </c>
      <c r="B24" s="96">
        <v>0</v>
      </c>
      <c r="C24" s="591"/>
      <c r="D24" s="54"/>
      <c r="E24" s="54">
        <f t="shared" si="0"/>
        <v>0</v>
      </c>
      <c r="F24" s="31"/>
      <c r="G24" s="594">
        <f t="shared" ref="G24:G36" si="6">+G23</f>
        <v>7.4999999999999997E-3</v>
      </c>
      <c r="H24" s="336">
        <v>0.1115</v>
      </c>
      <c r="I24" s="589">
        <f t="shared" si="4"/>
        <v>0.11899999999999999</v>
      </c>
      <c r="J24" s="313">
        <f t="shared" si="1"/>
        <v>0</v>
      </c>
      <c r="K24" s="114">
        <f t="shared" si="5"/>
        <v>0</v>
      </c>
    </row>
    <row r="25" spans="1:13" x14ac:dyDescent="0.3">
      <c r="A25" s="592">
        <f t="shared" si="2"/>
        <v>46223</v>
      </c>
      <c r="B25" s="96">
        <v>0</v>
      </c>
      <c r="C25" s="591"/>
      <c r="D25" s="54"/>
      <c r="E25" s="54">
        <f t="shared" si="0"/>
        <v>0</v>
      </c>
      <c r="F25" s="31"/>
      <c r="G25" s="594">
        <f t="shared" si="6"/>
        <v>7.4999999999999997E-3</v>
      </c>
      <c r="H25" s="336">
        <v>0.1115</v>
      </c>
      <c r="I25" s="589">
        <f t="shared" si="4"/>
        <v>0.11899999999999999</v>
      </c>
      <c r="J25" s="313">
        <f t="shared" si="1"/>
        <v>0</v>
      </c>
      <c r="K25" s="114">
        <f t="shared" si="5"/>
        <v>0</v>
      </c>
    </row>
    <row r="26" spans="1:13" x14ac:dyDescent="0.3">
      <c r="A26" s="592">
        <f t="shared" si="2"/>
        <v>46224</v>
      </c>
      <c r="B26" s="96">
        <v>0</v>
      </c>
      <c r="C26" s="591"/>
      <c r="D26" s="54"/>
      <c r="E26" s="54">
        <f t="shared" si="0"/>
        <v>0</v>
      </c>
      <c r="F26" s="31"/>
      <c r="G26" s="594">
        <f t="shared" si="6"/>
        <v>7.4999999999999997E-3</v>
      </c>
      <c r="H26" s="336">
        <v>0.1115</v>
      </c>
      <c r="I26" s="589">
        <f t="shared" si="4"/>
        <v>0.11899999999999999</v>
      </c>
      <c r="J26" s="313">
        <f t="shared" si="1"/>
        <v>0</v>
      </c>
      <c r="K26" s="114">
        <f t="shared" si="5"/>
        <v>0</v>
      </c>
    </row>
    <row r="27" spans="1:13" x14ac:dyDescent="0.3">
      <c r="A27" s="592">
        <f t="shared" si="2"/>
        <v>46225</v>
      </c>
      <c r="B27" s="96">
        <v>0</v>
      </c>
      <c r="C27" s="591"/>
      <c r="D27" s="54"/>
      <c r="E27" s="54">
        <f t="shared" si="0"/>
        <v>0</v>
      </c>
      <c r="F27" s="31"/>
      <c r="G27" s="594">
        <f t="shared" si="6"/>
        <v>7.4999999999999997E-3</v>
      </c>
      <c r="H27" s="336">
        <v>0.1115</v>
      </c>
      <c r="I27" s="589">
        <f t="shared" si="4"/>
        <v>0.11899999999999999</v>
      </c>
      <c r="J27" s="313">
        <f t="shared" si="1"/>
        <v>0</v>
      </c>
      <c r="K27" s="114">
        <f t="shared" si="5"/>
        <v>0</v>
      </c>
    </row>
    <row r="28" spans="1:13" x14ac:dyDescent="0.3">
      <c r="A28" s="592">
        <f t="shared" si="2"/>
        <v>46226</v>
      </c>
      <c r="B28" s="96">
        <v>0</v>
      </c>
      <c r="C28" s="591"/>
      <c r="D28" s="54"/>
      <c r="E28" s="54">
        <f t="shared" si="0"/>
        <v>0</v>
      </c>
      <c r="F28" s="31"/>
      <c r="G28" s="594">
        <f t="shared" si="6"/>
        <v>7.4999999999999997E-3</v>
      </c>
      <c r="H28" s="336">
        <v>0.1115</v>
      </c>
      <c r="I28" s="589">
        <f t="shared" si="4"/>
        <v>0.11899999999999999</v>
      </c>
      <c r="J28" s="313">
        <f t="shared" si="1"/>
        <v>0</v>
      </c>
      <c r="K28" s="114">
        <f t="shared" si="5"/>
        <v>0</v>
      </c>
    </row>
    <row r="29" spans="1:13" x14ac:dyDescent="0.3">
      <c r="A29" s="592">
        <f t="shared" si="2"/>
        <v>46227</v>
      </c>
      <c r="B29" s="96">
        <v>0</v>
      </c>
      <c r="C29" s="591"/>
      <c r="D29" s="54"/>
      <c r="E29" s="54">
        <f t="shared" si="0"/>
        <v>0</v>
      </c>
      <c r="F29" s="31"/>
      <c r="G29" s="594">
        <f t="shared" si="6"/>
        <v>7.4999999999999997E-3</v>
      </c>
      <c r="H29" s="336">
        <v>0.1115</v>
      </c>
      <c r="I29" s="589">
        <f t="shared" si="4"/>
        <v>0.11899999999999999</v>
      </c>
      <c r="J29" s="313">
        <f t="shared" si="1"/>
        <v>0</v>
      </c>
      <c r="K29" s="114">
        <f t="shared" si="5"/>
        <v>0</v>
      </c>
    </row>
    <row r="30" spans="1:13" x14ac:dyDescent="0.3">
      <c r="A30" s="592">
        <f t="shared" si="2"/>
        <v>46228</v>
      </c>
      <c r="B30" s="96">
        <v>0</v>
      </c>
      <c r="C30" s="591"/>
      <c r="D30" s="54"/>
      <c r="E30" s="54">
        <f t="shared" si="0"/>
        <v>0</v>
      </c>
      <c r="F30" s="31"/>
      <c r="G30" s="594">
        <f t="shared" si="6"/>
        <v>7.4999999999999997E-3</v>
      </c>
      <c r="H30" s="336">
        <v>0.1115</v>
      </c>
      <c r="I30" s="589">
        <f t="shared" si="4"/>
        <v>0.11899999999999999</v>
      </c>
      <c r="J30" s="313">
        <f t="shared" si="1"/>
        <v>0</v>
      </c>
      <c r="K30" s="114">
        <f t="shared" si="5"/>
        <v>0</v>
      </c>
    </row>
    <row r="31" spans="1:13" x14ac:dyDescent="0.3">
      <c r="A31" s="592">
        <f t="shared" si="2"/>
        <v>46229</v>
      </c>
      <c r="B31" s="96">
        <v>0</v>
      </c>
      <c r="C31" s="591"/>
      <c r="D31" s="54"/>
      <c r="E31" s="54">
        <f t="shared" si="0"/>
        <v>0</v>
      </c>
      <c r="F31" s="31"/>
      <c r="G31" s="594">
        <f t="shared" si="6"/>
        <v>7.4999999999999997E-3</v>
      </c>
      <c r="H31" s="336">
        <v>0.1115</v>
      </c>
      <c r="I31" s="589">
        <f t="shared" si="4"/>
        <v>0.11899999999999999</v>
      </c>
      <c r="J31" s="313">
        <f t="shared" si="1"/>
        <v>0</v>
      </c>
      <c r="K31" s="114">
        <f t="shared" si="5"/>
        <v>0</v>
      </c>
    </row>
    <row r="32" spans="1:13" x14ac:dyDescent="0.3">
      <c r="A32" s="592">
        <f t="shared" si="2"/>
        <v>46230</v>
      </c>
      <c r="B32" s="96">
        <v>0</v>
      </c>
      <c r="C32" s="591"/>
      <c r="D32" s="54"/>
      <c r="E32" s="54">
        <f t="shared" si="0"/>
        <v>0</v>
      </c>
      <c r="F32" s="31"/>
      <c r="G32" s="594">
        <f t="shared" si="6"/>
        <v>7.4999999999999997E-3</v>
      </c>
      <c r="H32" s="336">
        <v>0.1115</v>
      </c>
      <c r="I32" s="589">
        <f t="shared" si="4"/>
        <v>0.11899999999999999</v>
      </c>
      <c r="J32" s="313">
        <f t="shared" si="1"/>
        <v>0</v>
      </c>
      <c r="K32" s="114">
        <f t="shared" si="5"/>
        <v>0</v>
      </c>
    </row>
    <row r="33" spans="1:13" x14ac:dyDescent="0.3">
      <c r="A33" s="592">
        <f t="shared" si="2"/>
        <v>46231</v>
      </c>
      <c r="B33" s="96">
        <v>0</v>
      </c>
      <c r="C33" s="591"/>
      <c r="D33" s="54"/>
      <c r="E33" s="54">
        <f>SUM(B33:D33)</f>
        <v>0</v>
      </c>
      <c r="F33" s="31"/>
      <c r="G33" s="594">
        <f t="shared" si="6"/>
        <v>7.4999999999999997E-3</v>
      </c>
      <c r="H33" s="336">
        <v>0.1115</v>
      </c>
      <c r="I33" s="589">
        <f>+H33+G33</f>
        <v>0.11899999999999999</v>
      </c>
      <c r="J33" s="313">
        <f>IF(E33&lt;0,0,E33*I33/365)</f>
        <v>0</v>
      </c>
      <c r="K33" s="114">
        <f>+E33-E32</f>
        <v>0</v>
      </c>
    </row>
    <row r="34" spans="1:13" x14ac:dyDescent="0.3">
      <c r="A34" s="592">
        <f t="shared" si="2"/>
        <v>46232</v>
      </c>
      <c r="B34" s="96">
        <v>0</v>
      </c>
      <c r="C34" s="591"/>
      <c r="D34" s="54"/>
      <c r="E34" s="54">
        <f>SUM(B34:D34)</f>
        <v>0</v>
      </c>
      <c r="F34" s="31"/>
      <c r="G34" s="594">
        <f t="shared" si="6"/>
        <v>7.4999999999999997E-3</v>
      </c>
      <c r="H34" s="336">
        <v>0.1115</v>
      </c>
      <c r="I34" s="589">
        <f>+H34+G34</f>
        <v>0.11899999999999999</v>
      </c>
      <c r="J34" s="313">
        <f>IF(E34&lt;0,0,E34*I34/365)</f>
        <v>0</v>
      </c>
      <c r="K34" s="114">
        <f>+E34-E33</f>
        <v>0</v>
      </c>
    </row>
    <row r="35" spans="1:13" x14ac:dyDescent="0.3">
      <c r="A35" s="592">
        <f t="shared" si="2"/>
        <v>46233</v>
      </c>
      <c r="B35" s="96">
        <v>0</v>
      </c>
      <c r="C35" s="591"/>
      <c r="D35" s="54"/>
      <c r="E35" s="54">
        <f>SUM(B35:D35)</f>
        <v>0</v>
      </c>
      <c r="F35" s="31"/>
      <c r="G35" s="594">
        <f t="shared" si="6"/>
        <v>7.4999999999999997E-3</v>
      </c>
      <c r="H35" s="336">
        <v>0.1115</v>
      </c>
      <c r="I35" s="589">
        <f>+H35+G35</f>
        <v>0.11899999999999999</v>
      </c>
      <c r="J35" s="313">
        <f>IF(E35&lt;0,0,E35*I35/365)</f>
        <v>0</v>
      </c>
      <c r="K35" s="114">
        <f>+E35-E34</f>
        <v>0</v>
      </c>
    </row>
    <row r="36" spans="1:13" x14ac:dyDescent="0.3">
      <c r="A36" s="592">
        <f t="shared" si="2"/>
        <v>46234</v>
      </c>
      <c r="B36" s="96">
        <v>0</v>
      </c>
      <c r="C36" s="591"/>
      <c r="D36" s="54"/>
      <c r="E36" s="54">
        <f>SUM(B36:D36)</f>
        <v>0</v>
      </c>
      <c r="F36" s="31"/>
      <c r="G36" s="594">
        <f t="shared" si="6"/>
        <v>7.4999999999999997E-3</v>
      </c>
      <c r="H36" s="336">
        <v>0.1115</v>
      </c>
      <c r="I36" s="589">
        <f>+H36+G36</f>
        <v>0.11899999999999999</v>
      </c>
      <c r="J36" s="313">
        <f>IF(E36&lt;0,0,E36*I36/365)</f>
        <v>0</v>
      </c>
      <c r="K36" s="114">
        <f>+E36-E35</f>
        <v>0</v>
      </c>
    </row>
    <row r="37" spans="1:13" x14ac:dyDescent="0.3">
      <c r="B37" s="111">
        <v>4016646.39</v>
      </c>
      <c r="E37" s="2">
        <f>SUM(B37:D37)</f>
        <v>4016646.39</v>
      </c>
      <c r="G37" s="39" t="s">
        <v>14</v>
      </c>
      <c r="H37" s="20"/>
      <c r="I37" s="20"/>
      <c r="J37" s="19">
        <f>SUM(J6:J36)</f>
        <v>0</v>
      </c>
      <c r="M37" s="34"/>
    </row>
    <row r="38" spans="1:13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3" x14ac:dyDescent="0.3">
      <c r="G39" s="965" t="s">
        <v>22</v>
      </c>
      <c r="H39" s="965"/>
      <c r="I39" s="965"/>
    </row>
    <row r="40" spans="1:13" ht="15.6" x14ac:dyDescent="0.3">
      <c r="A40" s="343" t="s">
        <v>259</v>
      </c>
      <c r="B40" s="344" t="s">
        <v>78</v>
      </c>
      <c r="G40" s="966"/>
      <c r="H40" s="966"/>
      <c r="I40" s="966"/>
      <c r="J40" s="214" t="s">
        <v>0</v>
      </c>
    </row>
    <row r="41" spans="1:13" x14ac:dyDescent="0.3">
      <c r="G41" s="968" t="s">
        <v>15</v>
      </c>
      <c r="H41" s="968"/>
      <c r="I41" s="968"/>
      <c r="J41" s="220">
        <v>1237229.61869126</v>
      </c>
      <c r="K41" s="1"/>
    </row>
    <row r="42" spans="1:13" ht="17.399999999999999" x14ac:dyDescent="0.3">
      <c r="G42" s="968" t="s">
        <v>28</v>
      </c>
      <c r="H42" s="968"/>
      <c r="I42" s="968"/>
      <c r="J42" s="221"/>
      <c r="K42" s="707"/>
      <c r="L42" s="708"/>
    </row>
    <row r="43" spans="1:13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851">
        <f>IF(J42=0,0,J42-J41)</f>
        <v>0</v>
      </c>
    </row>
    <row r="44" spans="1:13" x14ac:dyDescent="0.3">
      <c r="G44" s="966"/>
      <c r="H44" s="966"/>
      <c r="I44" s="966"/>
      <c r="J44" s="966"/>
    </row>
    <row r="45" spans="1:13" ht="16.2" customHeight="1" thickBot="1" x14ac:dyDescent="0.35">
      <c r="G45" s="978" t="s">
        <v>199</v>
      </c>
      <c r="H45" s="978"/>
      <c r="I45" s="978"/>
      <c r="J45" s="217">
        <f>J37+J43</f>
        <v>0</v>
      </c>
      <c r="K45" s="698"/>
      <c r="L45" s="34"/>
    </row>
    <row r="46" spans="1:13" x14ac:dyDescent="0.3">
      <c r="G46" s="967"/>
      <c r="H46" s="967"/>
      <c r="I46" s="967"/>
      <c r="J46" s="967"/>
    </row>
    <row r="47" spans="1:13" x14ac:dyDescent="0.3">
      <c r="G47" s="1015" t="s">
        <v>31</v>
      </c>
      <c r="H47" s="1015"/>
      <c r="I47" s="1015"/>
      <c r="J47" s="220">
        <f>J41+J45-J42</f>
        <v>1237229.61869126</v>
      </c>
      <c r="K47" s="2"/>
      <c r="L47" s="645"/>
    </row>
    <row r="48" spans="1:13" x14ac:dyDescent="0.3">
      <c r="J48" s="325"/>
      <c r="K48" s="325"/>
      <c r="L48" s="34"/>
    </row>
    <row r="49" spans="10:10" x14ac:dyDescent="0.3">
      <c r="J49" s="2"/>
    </row>
  </sheetData>
  <autoFilter ref="K1:K49" xr:uid="{0E37FAC1-A980-4991-8B2D-2A8F4C6DA779}"/>
  <mergeCells count="15">
    <mergeCell ref="G47:I47"/>
    <mergeCell ref="G40:I40"/>
    <mergeCell ref="G41:I41"/>
    <mergeCell ref="A1:J1"/>
    <mergeCell ref="A2:I2"/>
    <mergeCell ref="A3:J3"/>
    <mergeCell ref="A38:J38"/>
    <mergeCell ref="G39:I39"/>
    <mergeCell ref="H4:H5"/>
    <mergeCell ref="A4:A5"/>
    <mergeCell ref="G42:I42"/>
    <mergeCell ref="G43:I43"/>
    <mergeCell ref="G44:J44"/>
    <mergeCell ref="G45:I45"/>
    <mergeCell ref="G46:J46"/>
  </mergeCells>
  <printOptions horizontalCentered="1" verticalCentered="1"/>
  <pageMargins left="0.75" right="0.75" top="0.5" bottom="0.5" header="0.5" footer="0.5"/>
  <pageSetup orientation="landscape" r:id="rId1"/>
  <headerFooter alignWithMargins="0"/>
  <ignoredErrors>
    <ignoredError sqref="E6:E32" formulaRange="1"/>
  </ignoredErrors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69D0-A0C0-46CE-9847-C7349977A3F2}">
  <sheetPr>
    <tabColor theme="0"/>
    <pageSetUpPr fitToPage="1"/>
  </sheetPr>
  <dimension ref="A1:M49"/>
  <sheetViews>
    <sheetView showGridLines="0" topLeftCell="A25" zoomScaleNormal="100" zoomScaleSheetLayoutView="99" workbookViewId="0">
      <selection activeCell="J41" sqref="J41"/>
    </sheetView>
  </sheetViews>
  <sheetFormatPr defaultColWidth="10.6328125" defaultRowHeight="13.8" x14ac:dyDescent="0.3"/>
  <cols>
    <col min="1" max="1" width="9.6328125" style="3" customWidth="1"/>
    <col min="2" max="2" width="12.453125" style="2" customWidth="1"/>
    <col min="3" max="3" width="8.36328125" style="2" customWidth="1"/>
    <col min="4" max="4" width="8.7265625" style="2" customWidth="1"/>
    <col min="5" max="5" width="12" style="2" customWidth="1"/>
    <col min="6" max="6" width="2.36328125" style="3" customWidth="1"/>
    <col min="7" max="7" width="6.08984375" style="3" customWidth="1"/>
    <col min="8" max="8" width="11.36328125" style="331" customWidth="1"/>
    <col min="9" max="9" width="9.08984375" style="3" customWidth="1"/>
    <col min="10" max="10" width="11.1796875" style="3" customWidth="1"/>
    <col min="11" max="11" width="13.08984375" style="3" bestFit="1" customWidth="1"/>
    <col min="12" max="12" width="8.08984375" style="3" bestFit="1" customWidth="1"/>
    <col min="13" max="13" width="13.08984375" style="3" bestFit="1" customWidth="1"/>
    <col min="14" max="16384" width="10.6328125" style="3"/>
  </cols>
  <sheetData>
    <row r="1" spans="1:13" ht="18" x14ac:dyDescent="0.35">
      <c r="A1" s="941" t="s">
        <v>35</v>
      </c>
      <c r="B1" s="941"/>
      <c r="C1" s="941"/>
      <c r="D1" s="941"/>
      <c r="E1" s="941"/>
      <c r="F1" s="941"/>
      <c r="G1" s="941"/>
      <c r="H1" s="941"/>
      <c r="I1" s="941"/>
      <c r="J1" s="941"/>
    </row>
    <row r="2" spans="1:13" ht="18.600000000000001" thickBot="1" x14ac:dyDescent="0.4">
      <c r="A2" s="955" t="s">
        <v>33</v>
      </c>
      <c r="B2" s="955"/>
      <c r="C2" s="955"/>
      <c r="D2" s="955"/>
      <c r="E2" s="955"/>
      <c r="F2" s="955"/>
      <c r="G2" s="955"/>
      <c r="H2" s="955"/>
      <c r="I2" s="955"/>
      <c r="J2" s="27">
        <f>'FINANCIAL COST SUMMARY'!K2</f>
        <v>46204</v>
      </c>
    </row>
    <row r="3" spans="1:13" x14ac:dyDescent="0.3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96">
        <v>100000000</v>
      </c>
    </row>
    <row r="4" spans="1:13" ht="15.6" customHeight="1" x14ac:dyDescent="0.3">
      <c r="A4" s="957" t="s">
        <v>2</v>
      </c>
      <c r="B4" s="61" t="s">
        <v>3</v>
      </c>
      <c r="C4" s="62" t="s">
        <v>4</v>
      </c>
      <c r="D4" s="63"/>
      <c r="E4" s="61" t="s">
        <v>5</v>
      </c>
      <c r="G4" s="64" t="s">
        <v>11</v>
      </c>
      <c r="H4" s="1016" t="s">
        <v>411</v>
      </c>
      <c r="I4" s="65" t="s">
        <v>6</v>
      </c>
      <c r="J4" s="66" t="s">
        <v>20</v>
      </c>
    </row>
    <row r="5" spans="1:13" x14ac:dyDescent="0.3">
      <c r="A5" s="958"/>
      <c r="B5" s="856" t="s">
        <v>1</v>
      </c>
      <c r="C5" s="67" t="s">
        <v>7</v>
      </c>
      <c r="D5" s="67" t="s">
        <v>8</v>
      </c>
      <c r="E5" s="67" t="s">
        <v>9</v>
      </c>
      <c r="G5" s="68" t="s">
        <v>12</v>
      </c>
      <c r="H5" s="970"/>
      <c r="I5" s="69" t="s">
        <v>10</v>
      </c>
      <c r="J5" s="70" t="s">
        <v>21</v>
      </c>
    </row>
    <row r="6" spans="1:13" x14ac:dyDescent="0.3">
      <c r="A6" s="592">
        <v>46204</v>
      </c>
      <c r="B6" s="96">
        <v>100000000</v>
      </c>
      <c r="C6" s="593"/>
      <c r="D6" s="42"/>
      <c r="E6" s="54">
        <f>SUM(B6:D6)</f>
        <v>100000000</v>
      </c>
      <c r="F6" s="31"/>
      <c r="G6" s="587">
        <v>0.01</v>
      </c>
      <c r="H6" s="336">
        <v>0.1203</v>
      </c>
      <c r="I6" s="589">
        <f>+H6+G6</f>
        <v>0.1303</v>
      </c>
      <c r="J6" s="313">
        <f>IF(E6&lt;0,0,E6*I6/365)</f>
        <v>35698.630136986299</v>
      </c>
      <c r="K6" s="115">
        <f>+E6-K3</f>
        <v>0</v>
      </c>
    </row>
    <row r="7" spans="1:13" x14ac:dyDescent="0.3">
      <c r="A7" s="592">
        <f>+A6+1</f>
        <v>46205</v>
      </c>
      <c r="B7" s="96">
        <v>100000000</v>
      </c>
      <c r="C7" s="593"/>
      <c r="D7" s="42"/>
      <c r="E7" s="54">
        <f t="shared" ref="E7:E32" si="0">SUM(B7:D7)</f>
        <v>100000000</v>
      </c>
      <c r="F7" s="31"/>
      <c r="G7" s="594">
        <f>+G6</f>
        <v>0.01</v>
      </c>
      <c r="H7" s="336">
        <v>0.1203</v>
      </c>
      <c r="I7" s="589">
        <f>+H7+G7</f>
        <v>0.1303</v>
      </c>
      <c r="J7" s="313">
        <f t="shared" ref="J7:J32" si="1">IF(E7&lt;0,0,E7*I7/365)</f>
        <v>35698.630136986299</v>
      </c>
      <c r="K7" s="114">
        <f>+E7-E6</f>
        <v>0</v>
      </c>
    </row>
    <row r="8" spans="1:13" x14ac:dyDescent="0.3">
      <c r="A8" s="592">
        <f t="shared" ref="A8:A36" si="2">+A7+1</f>
        <v>46206</v>
      </c>
      <c r="B8" s="96">
        <v>100000000</v>
      </c>
      <c r="C8" s="593"/>
      <c r="D8" s="42"/>
      <c r="E8" s="54">
        <f t="shared" si="0"/>
        <v>100000000</v>
      </c>
      <c r="F8" s="31"/>
      <c r="G8" s="594">
        <f t="shared" ref="G8:G36" si="3">+G7</f>
        <v>0.01</v>
      </c>
      <c r="H8" s="336">
        <v>0.1203</v>
      </c>
      <c r="I8" s="589">
        <f t="shared" ref="I8:I32" si="4">+H8+G8</f>
        <v>0.1303</v>
      </c>
      <c r="J8" s="313">
        <f t="shared" si="1"/>
        <v>35698.630136986299</v>
      </c>
      <c r="K8" s="114">
        <f>+E8-E7</f>
        <v>0</v>
      </c>
    </row>
    <row r="9" spans="1:13" x14ac:dyDescent="0.3">
      <c r="A9" s="592">
        <f t="shared" si="2"/>
        <v>46207</v>
      </c>
      <c r="B9" s="96">
        <v>100000000</v>
      </c>
      <c r="C9" s="593"/>
      <c r="D9" s="42"/>
      <c r="E9" s="54">
        <f t="shared" si="0"/>
        <v>100000000</v>
      </c>
      <c r="F9" s="31"/>
      <c r="G9" s="594">
        <f t="shared" si="3"/>
        <v>0.01</v>
      </c>
      <c r="H9" s="336">
        <v>0.1203</v>
      </c>
      <c r="I9" s="589">
        <f t="shared" si="4"/>
        <v>0.1303</v>
      </c>
      <c r="J9" s="313">
        <f t="shared" si="1"/>
        <v>35698.630136986299</v>
      </c>
      <c r="K9" s="114">
        <f>+E9-E8</f>
        <v>0</v>
      </c>
    </row>
    <row r="10" spans="1:13" x14ac:dyDescent="0.3">
      <c r="A10" s="592">
        <f t="shared" si="2"/>
        <v>46208</v>
      </c>
      <c r="B10" s="96">
        <v>100000000</v>
      </c>
      <c r="C10" s="591"/>
      <c r="D10" s="54"/>
      <c r="E10" s="54">
        <f t="shared" si="0"/>
        <v>100000000</v>
      </c>
      <c r="F10" s="31"/>
      <c r="G10" s="594">
        <f t="shared" si="3"/>
        <v>0.01</v>
      </c>
      <c r="H10" s="336">
        <v>0.1203</v>
      </c>
      <c r="I10" s="589">
        <f t="shared" si="4"/>
        <v>0.1303</v>
      </c>
      <c r="J10" s="313">
        <f t="shared" si="1"/>
        <v>35698.630136986299</v>
      </c>
      <c r="K10" s="114">
        <f>+E10-E9</f>
        <v>0</v>
      </c>
    </row>
    <row r="11" spans="1:13" x14ac:dyDescent="0.3">
      <c r="A11" s="592">
        <f t="shared" si="2"/>
        <v>46209</v>
      </c>
      <c r="B11" s="96">
        <v>100000000</v>
      </c>
      <c r="C11" s="591"/>
      <c r="D11" s="54"/>
      <c r="E11" s="54">
        <f>SUM(B11:D11)</f>
        <v>100000000</v>
      </c>
      <c r="F11" s="31"/>
      <c r="G11" s="594">
        <f t="shared" si="3"/>
        <v>0.01</v>
      </c>
      <c r="H11" s="336">
        <v>0.1203</v>
      </c>
      <c r="I11" s="589">
        <f t="shared" si="4"/>
        <v>0.1303</v>
      </c>
      <c r="J11" s="313">
        <f t="shared" si="1"/>
        <v>35698.630136986299</v>
      </c>
      <c r="K11" s="114">
        <f t="shared" ref="K11:K32" si="5">+E11-E10</f>
        <v>0</v>
      </c>
    </row>
    <row r="12" spans="1:13" x14ac:dyDescent="0.3">
      <c r="A12" s="592">
        <f t="shared" si="2"/>
        <v>46210</v>
      </c>
      <c r="B12" s="96">
        <v>100000000</v>
      </c>
      <c r="C12" s="591"/>
      <c r="D12" s="54"/>
      <c r="E12" s="54">
        <f t="shared" si="0"/>
        <v>100000000</v>
      </c>
      <c r="F12" s="31"/>
      <c r="G12" s="594">
        <f t="shared" si="3"/>
        <v>0.01</v>
      </c>
      <c r="H12" s="336">
        <v>0.1203</v>
      </c>
      <c r="I12" s="589">
        <f t="shared" si="4"/>
        <v>0.1303</v>
      </c>
      <c r="J12" s="313">
        <f t="shared" si="1"/>
        <v>35698.630136986299</v>
      </c>
      <c r="K12" s="114">
        <f t="shared" si="5"/>
        <v>0</v>
      </c>
    </row>
    <row r="13" spans="1:13" x14ac:dyDescent="0.3">
      <c r="A13" s="592">
        <f t="shared" si="2"/>
        <v>46211</v>
      </c>
      <c r="B13" s="96">
        <v>100000000</v>
      </c>
      <c r="C13" s="591"/>
      <c r="D13" s="54"/>
      <c r="E13" s="54">
        <f t="shared" si="0"/>
        <v>100000000</v>
      </c>
      <c r="F13" s="31"/>
      <c r="G13" s="594">
        <f t="shared" si="3"/>
        <v>0.01</v>
      </c>
      <c r="H13" s="336">
        <v>0.1203</v>
      </c>
      <c r="I13" s="589">
        <f t="shared" si="4"/>
        <v>0.1303</v>
      </c>
      <c r="J13" s="313">
        <f t="shared" si="1"/>
        <v>35698.630136986299</v>
      </c>
      <c r="K13" s="114">
        <f t="shared" si="5"/>
        <v>0</v>
      </c>
    </row>
    <row r="14" spans="1:13" x14ac:dyDescent="0.3">
      <c r="A14" s="592">
        <f t="shared" si="2"/>
        <v>46212</v>
      </c>
      <c r="B14" s="96">
        <v>100000000</v>
      </c>
      <c r="C14" s="591"/>
      <c r="D14" s="54"/>
      <c r="E14" s="54">
        <f t="shared" si="0"/>
        <v>100000000</v>
      </c>
      <c r="F14" s="31"/>
      <c r="G14" s="594">
        <f t="shared" si="3"/>
        <v>0.01</v>
      </c>
      <c r="H14" s="336">
        <v>0.1203</v>
      </c>
      <c r="I14" s="589">
        <f t="shared" si="4"/>
        <v>0.1303</v>
      </c>
      <c r="J14" s="313">
        <f t="shared" si="1"/>
        <v>35698.630136986299</v>
      </c>
      <c r="K14" s="114">
        <f t="shared" si="5"/>
        <v>0</v>
      </c>
    </row>
    <row r="15" spans="1:13" x14ac:dyDescent="0.3">
      <c r="A15" s="592">
        <f t="shared" si="2"/>
        <v>46213</v>
      </c>
      <c r="B15" s="96">
        <v>100000000</v>
      </c>
      <c r="C15" s="591"/>
      <c r="D15" s="54"/>
      <c r="E15" s="54">
        <f t="shared" si="0"/>
        <v>100000000</v>
      </c>
      <c r="F15" s="31"/>
      <c r="G15" s="594">
        <f t="shared" si="3"/>
        <v>0.01</v>
      </c>
      <c r="H15" s="336">
        <v>0.1203</v>
      </c>
      <c r="I15" s="589">
        <f t="shared" si="4"/>
        <v>0.1303</v>
      </c>
      <c r="J15" s="313">
        <f t="shared" si="1"/>
        <v>35698.630136986299</v>
      </c>
      <c r="K15" s="114">
        <f t="shared" si="5"/>
        <v>0</v>
      </c>
    </row>
    <row r="16" spans="1:13" s="331" customFormat="1" x14ac:dyDescent="0.3">
      <c r="A16" s="592">
        <f t="shared" si="2"/>
        <v>46214</v>
      </c>
      <c r="B16" s="96">
        <v>100000000</v>
      </c>
      <c r="C16" s="591"/>
      <c r="D16" s="54"/>
      <c r="E16" s="54">
        <f t="shared" si="0"/>
        <v>100000000</v>
      </c>
      <c r="F16" s="31"/>
      <c r="G16" s="594">
        <f t="shared" si="3"/>
        <v>0.01</v>
      </c>
      <c r="H16" s="336">
        <v>0.1203</v>
      </c>
      <c r="I16" s="589">
        <f t="shared" si="4"/>
        <v>0.1303</v>
      </c>
      <c r="J16" s="313">
        <f t="shared" si="1"/>
        <v>35698.630136986299</v>
      </c>
      <c r="K16" s="114">
        <f t="shared" si="5"/>
        <v>0</v>
      </c>
      <c r="M16" s="378"/>
    </row>
    <row r="17" spans="1:13" s="331" customFormat="1" x14ac:dyDescent="0.3">
      <c r="A17" s="592">
        <f t="shared" si="2"/>
        <v>46215</v>
      </c>
      <c r="B17" s="96">
        <v>100000000</v>
      </c>
      <c r="C17" s="591"/>
      <c r="D17" s="54"/>
      <c r="E17" s="54">
        <f>SUM(B17:D17)</f>
        <v>100000000</v>
      </c>
      <c r="F17" s="31"/>
      <c r="G17" s="594">
        <f t="shared" si="3"/>
        <v>0.01</v>
      </c>
      <c r="H17" s="336">
        <v>0.1203</v>
      </c>
      <c r="I17" s="589">
        <f t="shared" si="4"/>
        <v>0.1303</v>
      </c>
      <c r="J17" s="313">
        <f t="shared" si="1"/>
        <v>35698.630136986299</v>
      </c>
      <c r="K17" s="114">
        <f t="shared" si="5"/>
        <v>0</v>
      </c>
      <c r="M17" s="378"/>
    </row>
    <row r="18" spans="1:13" s="331" customFormat="1" x14ac:dyDescent="0.3">
      <c r="A18" s="592">
        <f t="shared" si="2"/>
        <v>46216</v>
      </c>
      <c r="B18" s="96">
        <v>100000000</v>
      </c>
      <c r="C18" s="591"/>
      <c r="D18" s="54"/>
      <c r="E18" s="54">
        <f t="shared" si="0"/>
        <v>100000000</v>
      </c>
      <c r="F18" s="31"/>
      <c r="G18" s="594">
        <f t="shared" si="3"/>
        <v>0.01</v>
      </c>
      <c r="H18" s="336">
        <v>0.1203</v>
      </c>
      <c r="I18" s="589">
        <f t="shared" si="4"/>
        <v>0.1303</v>
      </c>
      <c r="J18" s="313">
        <f t="shared" si="1"/>
        <v>35698.630136986299</v>
      </c>
      <c r="K18" s="114">
        <f t="shared" si="5"/>
        <v>0</v>
      </c>
    </row>
    <row r="19" spans="1:13" s="331" customFormat="1" x14ac:dyDescent="0.3">
      <c r="A19" s="592">
        <f t="shared" si="2"/>
        <v>46217</v>
      </c>
      <c r="B19" s="96">
        <v>100000000</v>
      </c>
      <c r="C19" s="591"/>
      <c r="D19" s="54"/>
      <c r="E19" s="54">
        <f t="shared" si="0"/>
        <v>100000000</v>
      </c>
      <c r="F19" s="31"/>
      <c r="G19" s="594">
        <f t="shared" si="3"/>
        <v>0.01</v>
      </c>
      <c r="H19" s="336">
        <v>0.1203</v>
      </c>
      <c r="I19" s="589">
        <f t="shared" si="4"/>
        <v>0.1303</v>
      </c>
      <c r="J19" s="313">
        <f t="shared" si="1"/>
        <v>35698.630136986299</v>
      </c>
      <c r="K19" s="114">
        <f t="shared" si="5"/>
        <v>0</v>
      </c>
    </row>
    <row r="20" spans="1:13" x14ac:dyDescent="0.3">
      <c r="A20" s="592">
        <f t="shared" si="2"/>
        <v>46218</v>
      </c>
      <c r="B20" s="96">
        <v>100000000</v>
      </c>
      <c r="C20" s="591"/>
      <c r="D20" s="54"/>
      <c r="E20" s="54">
        <f t="shared" si="0"/>
        <v>100000000</v>
      </c>
      <c r="F20" s="31"/>
      <c r="G20" s="594">
        <f t="shared" si="3"/>
        <v>0.01</v>
      </c>
      <c r="H20" s="336">
        <v>0.1203</v>
      </c>
      <c r="I20" s="589">
        <f t="shared" si="4"/>
        <v>0.1303</v>
      </c>
      <c r="J20" s="313">
        <f t="shared" si="1"/>
        <v>35698.630136986299</v>
      </c>
      <c r="K20" s="114">
        <f t="shared" si="5"/>
        <v>0</v>
      </c>
    </row>
    <row r="21" spans="1:13" x14ac:dyDescent="0.3">
      <c r="A21" s="592">
        <f t="shared" si="2"/>
        <v>46219</v>
      </c>
      <c r="B21" s="96">
        <v>100000000</v>
      </c>
      <c r="C21" s="591"/>
      <c r="D21" s="54"/>
      <c r="E21" s="54">
        <f t="shared" si="0"/>
        <v>100000000</v>
      </c>
      <c r="F21" s="31"/>
      <c r="G21" s="594">
        <f t="shared" si="3"/>
        <v>0.01</v>
      </c>
      <c r="H21" s="336">
        <v>0.1203</v>
      </c>
      <c r="I21" s="589">
        <f t="shared" si="4"/>
        <v>0.1303</v>
      </c>
      <c r="J21" s="313">
        <f t="shared" si="1"/>
        <v>35698.630136986299</v>
      </c>
      <c r="K21" s="114">
        <f t="shared" si="5"/>
        <v>0</v>
      </c>
    </row>
    <row r="22" spans="1:13" s="331" customFormat="1" x14ac:dyDescent="0.3">
      <c r="A22" s="592">
        <f t="shared" si="2"/>
        <v>46220</v>
      </c>
      <c r="B22" s="96">
        <v>100000000</v>
      </c>
      <c r="C22" s="591"/>
      <c r="D22" s="54"/>
      <c r="E22" s="54">
        <f>SUM(B22:D22)</f>
        <v>100000000</v>
      </c>
      <c r="F22" s="31"/>
      <c r="G22" s="594">
        <f t="shared" si="3"/>
        <v>0.01</v>
      </c>
      <c r="H22" s="336">
        <v>0.1203</v>
      </c>
      <c r="I22" s="589">
        <f t="shared" si="4"/>
        <v>0.1303</v>
      </c>
      <c r="J22" s="313">
        <f t="shared" si="1"/>
        <v>35698.630136986299</v>
      </c>
      <c r="K22" s="114">
        <f t="shared" si="5"/>
        <v>0</v>
      </c>
    </row>
    <row r="23" spans="1:13" s="331" customFormat="1" x14ac:dyDescent="0.3">
      <c r="A23" s="603">
        <f t="shared" si="2"/>
        <v>46221</v>
      </c>
      <c r="B23" s="96">
        <v>100000000</v>
      </c>
      <c r="C23" s="414"/>
      <c r="D23" s="381"/>
      <c r="E23" s="381">
        <f t="shared" si="0"/>
        <v>100000000</v>
      </c>
      <c r="G23" s="595">
        <f t="shared" si="3"/>
        <v>0.01</v>
      </c>
      <c r="H23" s="336">
        <v>0.1203</v>
      </c>
      <c r="I23" s="383">
        <f t="shared" si="4"/>
        <v>0.1303</v>
      </c>
      <c r="J23" s="385">
        <f t="shared" si="1"/>
        <v>35698.630136986299</v>
      </c>
      <c r="K23" s="378">
        <f t="shared" si="5"/>
        <v>0</v>
      </c>
    </row>
    <row r="24" spans="1:13" x14ac:dyDescent="0.3">
      <c r="A24" s="592">
        <f t="shared" si="2"/>
        <v>46222</v>
      </c>
      <c r="B24" s="96">
        <v>100000000</v>
      </c>
      <c r="C24" s="591"/>
      <c r="D24" s="54"/>
      <c r="E24" s="54">
        <f t="shared" si="0"/>
        <v>100000000</v>
      </c>
      <c r="F24" s="31"/>
      <c r="G24" s="594">
        <f t="shared" si="3"/>
        <v>0.01</v>
      </c>
      <c r="H24" s="336">
        <v>0.1203</v>
      </c>
      <c r="I24" s="589">
        <f t="shared" si="4"/>
        <v>0.1303</v>
      </c>
      <c r="J24" s="313">
        <f t="shared" si="1"/>
        <v>35698.630136986299</v>
      </c>
      <c r="K24" s="114">
        <f t="shared" si="5"/>
        <v>0</v>
      </c>
    </row>
    <row r="25" spans="1:13" x14ac:dyDescent="0.3">
      <c r="A25" s="592">
        <f t="shared" si="2"/>
        <v>46223</v>
      </c>
      <c r="B25" s="96">
        <v>100000000</v>
      </c>
      <c r="C25" s="591"/>
      <c r="D25" s="54"/>
      <c r="E25" s="54">
        <f t="shared" si="0"/>
        <v>100000000</v>
      </c>
      <c r="F25" s="31"/>
      <c r="G25" s="594">
        <f t="shared" si="3"/>
        <v>0.01</v>
      </c>
      <c r="H25" s="336">
        <v>0.1203</v>
      </c>
      <c r="I25" s="589">
        <f t="shared" si="4"/>
        <v>0.1303</v>
      </c>
      <c r="J25" s="313">
        <f t="shared" si="1"/>
        <v>35698.630136986299</v>
      </c>
      <c r="K25" s="114">
        <f t="shared" si="5"/>
        <v>0</v>
      </c>
    </row>
    <row r="26" spans="1:13" x14ac:dyDescent="0.3">
      <c r="A26" s="592">
        <f t="shared" si="2"/>
        <v>46224</v>
      </c>
      <c r="B26" s="96">
        <v>100000000</v>
      </c>
      <c r="C26" s="591"/>
      <c r="D26" s="54"/>
      <c r="E26" s="54">
        <f t="shared" si="0"/>
        <v>100000000</v>
      </c>
      <c r="F26" s="31"/>
      <c r="G26" s="594">
        <f t="shared" si="3"/>
        <v>0.01</v>
      </c>
      <c r="H26" s="336">
        <v>0.1203</v>
      </c>
      <c r="I26" s="589">
        <f t="shared" si="4"/>
        <v>0.1303</v>
      </c>
      <c r="J26" s="313">
        <f t="shared" si="1"/>
        <v>35698.630136986299</v>
      </c>
      <c r="K26" s="114">
        <f t="shared" si="5"/>
        <v>0</v>
      </c>
    </row>
    <row r="27" spans="1:13" x14ac:dyDescent="0.3">
      <c r="A27" s="592">
        <f t="shared" si="2"/>
        <v>46225</v>
      </c>
      <c r="B27" s="96">
        <v>100000000</v>
      </c>
      <c r="C27" s="591"/>
      <c r="D27" s="54"/>
      <c r="E27" s="54">
        <f t="shared" si="0"/>
        <v>100000000</v>
      </c>
      <c r="F27" s="31"/>
      <c r="G27" s="594">
        <f t="shared" si="3"/>
        <v>0.01</v>
      </c>
      <c r="H27" s="336">
        <v>0.1203</v>
      </c>
      <c r="I27" s="589">
        <f t="shared" si="4"/>
        <v>0.1303</v>
      </c>
      <c r="J27" s="313">
        <f t="shared" si="1"/>
        <v>35698.630136986299</v>
      </c>
      <c r="K27" s="114">
        <f t="shared" si="5"/>
        <v>0</v>
      </c>
    </row>
    <row r="28" spans="1:13" x14ac:dyDescent="0.3">
      <c r="A28" s="592">
        <f t="shared" si="2"/>
        <v>46226</v>
      </c>
      <c r="B28" s="96">
        <v>100000000</v>
      </c>
      <c r="C28" s="591"/>
      <c r="D28" s="54"/>
      <c r="E28" s="54">
        <f t="shared" si="0"/>
        <v>100000000</v>
      </c>
      <c r="F28" s="31"/>
      <c r="G28" s="594">
        <f t="shared" si="3"/>
        <v>0.01</v>
      </c>
      <c r="H28" s="336">
        <v>0.1203</v>
      </c>
      <c r="I28" s="589">
        <f t="shared" si="4"/>
        <v>0.1303</v>
      </c>
      <c r="J28" s="313">
        <f t="shared" si="1"/>
        <v>35698.630136986299</v>
      </c>
      <c r="K28" s="114">
        <f t="shared" si="5"/>
        <v>0</v>
      </c>
    </row>
    <row r="29" spans="1:13" x14ac:dyDescent="0.3">
      <c r="A29" s="592">
        <f t="shared" si="2"/>
        <v>46227</v>
      </c>
      <c r="B29" s="96">
        <v>100000000</v>
      </c>
      <c r="C29" s="591"/>
      <c r="D29" s="54"/>
      <c r="E29" s="54">
        <f t="shared" si="0"/>
        <v>100000000</v>
      </c>
      <c r="F29" s="31"/>
      <c r="G29" s="594">
        <f t="shared" si="3"/>
        <v>0.01</v>
      </c>
      <c r="H29" s="336">
        <v>0.1203</v>
      </c>
      <c r="I29" s="589">
        <f t="shared" si="4"/>
        <v>0.1303</v>
      </c>
      <c r="J29" s="313">
        <f t="shared" si="1"/>
        <v>35698.630136986299</v>
      </c>
      <c r="K29" s="114">
        <f t="shared" si="5"/>
        <v>0</v>
      </c>
    </row>
    <row r="30" spans="1:13" x14ac:dyDescent="0.3">
      <c r="A30" s="592">
        <f t="shared" si="2"/>
        <v>46228</v>
      </c>
      <c r="B30" s="96">
        <v>100000000</v>
      </c>
      <c r="C30" s="591"/>
      <c r="D30" s="54"/>
      <c r="E30" s="54">
        <f t="shared" si="0"/>
        <v>100000000</v>
      </c>
      <c r="F30" s="31"/>
      <c r="G30" s="594">
        <f t="shared" si="3"/>
        <v>0.01</v>
      </c>
      <c r="H30" s="336">
        <v>0.1203</v>
      </c>
      <c r="I30" s="589">
        <f t="shared" si="4"/>
        <v>0.1303</v>
      </c>
      <c r="J30" s="313">
        <f t="shared" si="1"/>
        <v>35698.630136986299</v>
      </c>
      <c r="K30" s="114">
        <f t="shared" si="5"/>
        <v>0</v>
      </c>
    </row>
    <row r="31" spans="1:13" x14ac:dyDescent="0.3">
      <c r="A31" s="592">
        <f t="shared" si="2"/>
        <v>46229</v>
      </c>
      <c r="B31" s="96">
        <v>100000000</v>
      </c>
      <c r="C31" s="591"/>
      <c r="D31" s="54"/>
      <c r="E31" s="54">
        <f t="shared" si="0"/>
        <v>100000000</v>
      </c>
      <c r="F31" s="31"/>
      <c r="G31" s="594">
        <f t="shared" si="3"/>
        <v>0.01</v>
      </c>
      <c r="H31" s="336">
        <v>0.1203</v>
      </c>
      <c r="I31" s="589">
        <f t="shared" si="4"/>
        <v>0.1303</v>
      </c>
      <c r="J31" s="313">
        <f t="shared" si="1"/>
        <v>35698.630136986299</v>
      </c>
      <c r="K31" s="114">
        <f t="shared" si="5"/>
        <v>0</v>
      </c>
    </row>
    <row r="32" spans="1:13" x14ac:dyDescent="0.3">
      <c r="A32" s="592">
        <f t="shared" si="2"/>
        <v>46230</v>
      </c>
      <c r="B32" s="96">
        <v>100000000</v>
      </c>
      <c r="C32" s="591"/>
      <c r="D32" s="54"/>
      <c r="E32" s="54">
        <f t="shared" si="0"/>
        <v>100000000</v>
      </c>
      <c r="F32" s="31"/>
      <c r="G32" s="594">
        <f t="shared" si="3"/>
        <v>0.01</v>
      </c>
      <c r="H32" s="336">
        <v>0.1203</v>
      </c>
      <c r="I32" s="589">
        <f t="shared" si="4"/>
        <v>0.1303</v>
      </c>
      <c r="J32" s="313">
        <f t="shared" si="1"/>
        <v>35698.630136986299</v>
      </c>
      <c r="K32" s="114">
        <f t="shared" si="5"/>
        <v>0</v>
      </c>
    </row>
    <row r="33" spans="1:13" x14ac:dyDescent="0.3">
      <c r="A33" s="592">
        <f t="shared" si="2"/>
        <v>46231</v>
      </c>
      <c r="B33" s="96">
        <v>100000000</v>
      </c>
      <c r="C33" s="591"/>
      <c r="D33" s="54"/>
      <c r="E33" s="54">
        <f>SUM(B33:D33)</f>
        <v>100000000</v>
      </c>
      <c r="F33" s="31"/>
      <c r="G33" s="594">
        <f t="shared" si="3"/>
        <v>0.01</v>
      </c>
      <c r="H33" s="336">
        <v>0.1203</v>
      </c>
      <c r="I33" s="589">
        <f>+H33+G33</f>
        <v>0.1303</v>
      </c>
      <c r="J33" s="313">
        <f>IF(E33&lt;0,0,E33*I33/365)</f>
        <v>35698.630136986299</v>
      </c>
      <c r="K33" s="114">
        <f>+E33-E32</f>
        <v>0</v>
      </c>
    </row>
    <row r="34" spans="1:13" x14ac:dyDescent="0.3">
      <c r="A34" s="592">
        <f t="shared" si="2"/>
        <v>46232</v>
      </c>
      <c r="B34" s="96">
        <v>100000000</v>
      </c>
      <c r="C34" s="591"/>
      <c r="D34" s="54"/>
      <c r="E34" s="54">
        <f>SUM(B34:D34)</f>
        <v>100000000</v>
      </c>
      <c r="F34" s="31"/>
      <c r="G34" s="594">
        <f t="shared" si="3"/>
        <v>0.01</v>
      </c>
      <c r="H34" s="336">
        <v>0.1203</v>
      </c>
      <c r="I34" s="589">
        <f>+H34+G34</f>
        <v>0.1303</v>
      </c>
      <c r="J34" s="313">
        <f>IF(E34&lt;0,0,E34*I34/365)</f>
        <v>35698.630136986299</v>
      </c>
      <c r="K34" s="114">
        <f>+E34-E33</f>
        <v>0</v>
      </c>
    </row>
    <row r="35" spans="1:13" x14ac:dyDescent="0.3">
      <c r="A35" s="592">
        <f t="shared" si="2"/>
        <v>46233</v>
      </c>
      <c r="B35" s="96">
        <v>100000000</v>
      </c>
      <c r="C35" s="591"/>
      <c r="D35" s="54"/>
      <c r="E35" s="54">
        <f>SUM(B35:D35)</f>
        <v>100000000</v>
      </c>
      <c r="F35" s="31"/>
      <c r="G35" s="594">
        <f t="shared" si="3"/>
        <v>0.01</v>
      </c>
      <c r="H35" s="336">
        <v>0.1203</v>
      </c>
      <c r="I35" s="589">
        <f>+H35+G35</f>
        <v>0.1303</v>
      </c>
      <c r="J35" s="313">
        <f>IF(E35&lt;0,0,E35*I35/365)</f>
        <v>35698.630136986299</v>
      </c>
      <c r="K35" s="114">
        <f>+E35-E34</f>
        <v>0</v>
      </c>
    </row>
    <row r="36" spans="1:13" x14ac:dyDescent="0.3">
      <c r="A36" s="592">
        <f t="shared" si="2"/>
        <v>46234</v>
      </c>
      <c r="B36" s="96">
        <v>100000000</v>
      </c>
      <c r="C36" s="591"/>
      <c r="D36" s="54"/>
      <c r="E36" s="54">
        <f>SUM(B36:D36)</f>
        <v>100000000</v>
      </c>
      <c r="F36" s="31"/>
      <c r="G36" s="594">
        <f t="shared" si="3"/>
        <v>0.01</v>
      </c>
      <c r="H36" s="336">
        <v>0.1203</v>
      </c>
      <c r="I36" s="589">
        <f>+H36+G36</f>
        <v>0.1303</v>
      </c>
      <c r="J36" s="313">
        <f>IF(E36&lt;0,0,E36*I36/365)</f>
        <v>35698.630136986299</v>
      </c>
      <c r="K36" s="114">
        <f>+E36-E35</f>
        <v>0</v>
      </c>
    </row>
    <row r="37" spans="1:13" x14ac:dyDescent="0.3">
      <c r="B37" s="111"/>
      <c r="E37" s="2">
        <f>SUM(B37:D37)</f>
        <v>0</v>
      </c>
      <c r="G37" s="39" t="s">
        <v>14</v>
      </c>
      <c r="H37" s="20"/>
      <c r="I37" s="20"/>
      <c r="J37" s="19">
        <f>SUM(J6:J36)</f>
        <v>1106657.5342465749</v>
      </c>
      <c r="M37" s="34"/>
    </row>
    <row r="38" spans="1:13" x14ac:dyDescent="0.3">
      <c r="A38" s="940"/>
      <c r="B38" s="940"/>
      <c r="C38" s="940"/>
      <c r="D38" s="940"/>
      <c r="E38" s="940"/>
      <c r="F38" s="940"/>
      <c r="G38" s="940"/>
      <c r="H38" s="940"/>
      <c r="I38" s="940"/>
      <c r="J38" s="940"/>
    </row>
    <row r="39" spans="1:13" x14ac:dyDescent="0.3">
      <c r="G39" s="965" t="s">
        <v>22</v>
      </c>
      <c r="H39" s="965"/>
      <c r="I39" s="965"/>
    </row>
    <row r="40" spans="1:13" ht="15.6" x14ac:dyDescent="0.3">
      <c r="A40" s="343">
        <v>30000917</v>
      </c>
      <c r="B40" s="344" t="s">
        <v>408</v>
      </c>
      <c r="G40" s="966"/>
      <c r="H40" s="966"/>
      <c r="I40" s="966"/>
      <c r="J40" s="214" t="s">
        <v>0</v>
      </c>
    </row>
    <row r="41" spans="1:13" x14ac:dyDescent="0.3">
      <c r="G41" s="968" t="s">
        <v>15</v>
      </c>
      <c r="H41" s="968"/>
      <c r="I41" s="968"/>
      <c r="J41" s="220">
        <v>285589.0410958904</v>
      </c>
      <c r="K41" s="1"/>
    </row>
    <row r="42" spans="1:13" ht="17.399999999999999" x14ac:dyDescent="0.3">
      <c r="G42" s="968" t="s">
        <v>28</v>
      </c>
      <c r="H42" s="968"/>
      <c r="I42" s="968"/>
      <c r="J42" s="221"/>
      <c r="K42" s="707"/>
      <c r="L42" s="708"/>
    </row>
    <row r="43" spans="1:13" x14ac:dyDescent="0.3">
      <c r="B43" s="3"/>
      <c r="D43" s="3"/>
      <c r="G43" s="973" t="str">
        <f>IF(J43&lt;0,"Excess Provision to be Reversed","Additional Provision Required")</f>
        <v>Additional Provision Required</v>
      </c>
      <c r="H43" s="973"/>
      <c r="I43" s="973"/>
      <c r="J43" s="851">
        <f>IF(J42=0,0,J42-J41)</f>
        <v>0</v>
      </c>
    </row>
    <row r="44" spans="1:13" x14ac:dyDescent="0.3">
      <c r="G44" s="966"/>
      <c r="H44" s="966"/>
      <c r="I44" s="966"/>
      <c r="J44" s="966"/>
    </row>
    <row r="45" spans="1:13" ht="16.2" customHeight="1" thickBot="1" x14ac:dyDescent="0.35">
      <c r="G45" s="978" t="s">
        <v>199</v>
      </c>
      <c r="H45" s="978"/>
      <c r="I45" s="978"/>
      <c r="J45" s="217">
        <f>J37+J43</f>
        <v>1106657.5342465749</v>
      </c>
      <c r="K45" s="698"/>
      <c r="L45" s="34"/>
    </row>
    <row r="46" spans="1:13" x14ac:dyDescent="0.3">
      <c r="G46" s="967"/>
      <c r="H46" s="967"/>
      <c r="I46" s="967"/>
      <c r="J46" s="967"/>
    </row>
    <row r="47" spans="1:13" x14ac:dyDescent="0.3">
      <c r="G47" s="1015" t="s">
        <v>31</v>
      </c>
      <c r="H47" s="1015"/>
      <c r="I47" s="1015"/>
      <c r="J47" s="220">
        <f>J41+J45-J42</f>
        <v>1392246.5753424652</v>
      </c>
      <c r="K47" s="2"/>
      <c r="L47" s="645"/>
    </row>
    <row r="48" spans="1:13" x14ac:dyDescent="0.3">
      <c r="J48" s="325"/>
      <c r="K48" s="325"/>
      <c r="L48" s="34"/>
    </row>
    <row r="49" spans="10:10" x14ac:dyDescent="0.3">
      <c r="J49" s="2"/>
    </row>
  </sheetData>
  <autoFilter ref="K1:K49" xr:uid="{57A6292B-4876-4F3E-A0DF-3B75028FCF54}"/>
  <mergeCells count="15"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  <mergeCell ref="A38:J38"/>
    <mergeCell ref="A1:J1"/>
    <mergeCell ref="A2:I2"/>
    <mergeCell ref="A3:J3"/>
    <mergeCell ref="A4:A5"/>
    <mergeCell ref="H4:H5"/>
  </mergeCells>
  <printOptions horizontalCentered="1" verticalCentered="1"/>
  <pageMargins left="0.75" right="0.75" top="0.5" bottom="0.5" header="0.5" footer="0.5"/>
  <pageSetup orientation="landscape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22B-9E22-41EC-9A20-8EA7A4DA9AC2}">
  <sheetPr>
    <tabColor theme="0"/>
    <pageSetUpPr fitToPage="1"/>
  </sheetPr>
  <dimension ref="A1:G92"/>
  <sheetViews>
    <sheetView showGridLines="0" topLeftCell="A71" zoomScaleNormal="100" zoomScaleSheetLayoutView="90" workbookViewId="0">
      <selection activeCell="A70" sqref="A70:XFD70"/>
    </sheetView>
  </sheetViews>
  <sheetFormatPr defaultColWidth="10.6328125" defaultRowHeight="13.8" x14ac:dyDescent="0.3"/>
  <cols>
    <col min="1" max="1" width="15.1796875" style="3" customWidth="1"/>
    <col min="2" max="2" width="13.453125" style="331" customWidth="1"/>
    <col min="3" max="3" width="11.90625" style="3" bestFit="1" customWidth="1"/>
    <col min="4" max="4" width="12.81640625" style="331" bestFit="1" customWidth="1"/>
    <col min="5" max="5" width="11" style="3" bestFit="1" customWidth="1"/>
    <col min="6" max="6" width="3.26953125" style="3" customWidth="1"/>
    <col min="7" max="7" width="7.81640625" style="3" bestFit="1" customWidth="1"/>
    <col min="8" max="16384" width="10.6328125" style="3"/>
  </cols>
  <sheetData>
    <row r="1" spans="1:7" ht="18" x14ac:dyDescent="0.35">
      <c r="A1" s="941" t="s">
        <v>35</v>
      </c>
      <c r="B1" s="941"/>
      <c r="C1" s="941"/>
      <c r="D1" s="403"/>
    </row>
    <row r="2" spans="1:7" ht="18.600000000000001" thickBot="1" x14ac:dyDescent="0.4">
      <c r="A2" s="47" t="s">
        <v>34</v>
      </c>
      <c r="B2" s="822"/>
      <c r="C2" s="27">
        <f>'FINANCIAL COST SUMMARY'!K2</f>
        <v>46204</v>
      </c>
      <c r="D2" s="406"/>
    </row>
    <row r="3" spans="1:7" x14ac:dyDescent="0.3">
      <c r="A3" s="942"/>
      <c r="B3" s="942"/>
      <c r="C3" s="942"/>
      <c r="D3" s="407"/>
    </row>
    <row r="4" spans="1:7" s="31" customFormat="1" x14ac:dyDescent="0.3">
      <c r="A4" s="1014" t="s">
        <v>19</v>
      </c>
      <c r="B4" s="1014"/>
      <c r="C4" s="1014"/>
      <c r="D4" s="408"/>
    </row>
    <row r="5" spans="1:7" s="45" customFormat="1" ht="41.4" x14ac:dyDescent="0.3">
      <c r="A5" s="51" t="s">
        <v>2</v>
      </c>
      <c r="B5" s="314" t="s">
        <v>381</v>
      </c>
      <c r="C5" s="73" t="s">
        <v>0</v>
      </c>
      <c r="D5" s="409"/>
    </row>
    <row r="6" spans="1:7" x14ac:dyDescent="0.3">
      <c r="A6" s="6">
        <v>46204</v>
      </c>
      <c r="B6" s="304">
        <v>0</v>
      </c>
      <c r="C6" s="33">
        <f t="shared" ref="C6:C34" si="0">SUM(B6:B6)</f>
        <v>0</v>
      </c>
      <c r="D6" s="405"/>
      <c r="E6" s="76">
        <v>46156</v>
      </c>
      <c r="F6" s="3">
        <v>180</v>
      </c>
      <c r="G6" s="76">
        <f>+E6+F6</f>
        <v>46336</v>
      </c>
    </row>
    <row r="7" spans="1:7" x14ac:dyDescent="0.3">
      <c r="A7" s="6">
        <f>+A6+1</f>
        <v>46205</v>
      </c>
      <c r="B7" s="304">
        <v>0</v>
      </c>
      <c r="C7" s="33">
        <f t="shared" si="0"/>
        <v>0</v>
      </c>
      <c r="D7" s="405"/>
    </row>
    <row r="8" spans="1:7" x14ac:dyDescent="0.3">
      <c r="A8" s="6">
        <f t="shared" ref="A8:A36" si="1">+A7+1</f>
        <v>46206</v>
      </c>
      <c r="B8" s="304">
        <v>0</v>
      </c>
      <c r="C8" s="33">
        <f t="shared" si="0"/>
        <v>0</v>
      </c>
      <c r="D8" s="405"/>
    </row>
    <row r="9" spans="1:7" x14ac:dyDescent="0.3">
      <c r="A9" s="6">
        <f t="shared" si="1"/>
        <v>46207</v>
      </c>
      <c r="B9" s="304">
        <v>0</v>
      </c>
      <c r="C9" s="33">
        <f t="shared" si="0"/>
        <v>0</v>
      </c>
      <c r="D9" s="405"/>
      <c r="E9" s="2"/>
      <c r="F9" s="2"/>
    </row>
    <row r="10" spans="1:7" x14ac:dyDescent="0.3">
      <c r="A10" s="315">
        <f t="shared" si="1"/>
        <v>46208</v>
      </c>
      <c r="B10" s="304">
        <v>0</v>
      </c>
      <c r="C10" s="33">
        <f t="shared" si="0"/>
        <v>0</v>
      </c>
      <c r="D10" s="405"/>
      <c r="E10" s="2"/>
      <c r="F10" s="2"/>
    </row>
    <row r="11" spans="1:7" x14ac:dyDescent="0.3">
      <c r="A11" s="6">
        <f t="shared" si="1"/>
        <v>46209</v>
      </c>
      <c r="B11" s="304">
        <v>0</v>
      </c>
      <c r="C11" s="33">
        <f t="shared" si="0"/>
        <v>0</v>
      </c>
      <c r="D11" s="405"/>
      <c r="E11" s="2"/>
      <c r="F11" s="2"/>
    </row>
    <row r="12" spans="1:7" x14ac:dyDescent="0.3">
      <c r="A12" s="6">
        <f t="shared" si="1"/>
        <v>46210</v>
      </c>
      <c r="B12" s="304">
        <v>0</v>
      </c>
      <c r="C12" s="33">
        <f t="shared" si="0"/>
        <v>0</v>
      </c>
      <c r="D12" s="405"/>
      <c r="E12" s="2"/>
      <c r="F12" s="2"/>
    </row>
    <row r="13" spans="1:7" x14ac:dyDescent="0.3">
      <c r="A13" s="315">
        <f t="shared" si="1"/>
        <v>46211</v>
      </c>
      <c r="B13" s="304">
        <v>0</v>
      </c>
      <c r="C13" s="33">
        <f t="shared" si="0"/>
        <v>0</v>
      </c>
      <c r="D13" s="405"/>
      <c r="E13" s="2"/>
      <c r="F13" s="2"/>
    </row>
    <row r="14" spans="1:7" x14ac:dyDescent="0.3">
      <c r="A14" s="315">
        <f t="shared" si="1"/>
        <v>46212</v>
      </c>
      <c r="B14" s="304">
        <v>0</v>
      </c>
      <c r="C14" s="33">
        <f t="shared" si="0"/>
        <v>0</v>
      </c>
      <c r="D14" s="405"/>
      <c r="E14" s="2"/>
      <c r="F14" s="2"/>
    </row>
    <row r="15" spans="1:7" x14ac:dyDescent="0.3">
      <c r="A15" s="315">
        <f t="shared" si="1"/>
        <v>46213</v>
      </c>
      <c r="B15" s="304">
        <v>0</v>
      </c>
      <c r="C15" s="33">
        <f t="shared" si="0"/>
        <v>0</v>
      </c>
      <c r="D15" s="405"/>
      <c r="E15" s="2"/>
      <c r="F15" s="2"/>
    </row>
    <row r="16" spans="1:7" x14ac:dyDescent="0.3">
      <c r="A16" s="315">
        <f t="shared" si="1"/>
        <v>46214</v>
      </c>
      <c r="B16" s="304">
        <v>0</v>
      </c>
      <c r="C16" s="33">
        <f t="shared" si="0"/>
        <v>0</v>
      </c>
      <c r="D16" s="405"/>
      <c r="E16" s="2"/>
      <c r="F16" s="2"/>
    </row>
    <row r="17" spans="1:6" x14ac:dyDescent="0.3">
      <c r="A17" s="6">
        <f t="shared" si="1"/>
        <v>46215</v>
      </c>
      <c r="B17" s="304">
        <v>0</v>
      </c>
      <c r="C17" s="33">
        <f t="shared" si="0"/>
        <v>0</v>
      </c>
      <c r="D17" s="405"/>
      <c r="E17" s="2"/>
      <c r="F17" s="2"/>
    </row>
    <row r="18" spans="1:6" x14ac:dyDescent="0.3">
      <c r="A18" s="6">
        <f t="shared" si="1"/>
        <v>46216</v>
      </c>
      <c r="B18" s="304">
        <v>0</v>
      </c>
      <c r="C18" s="33">
        <f t="shared" si="0"/>
        <v>0</v>
      </c>
      <c r="D18" s="405"/>
      <c r="E18" s="2"/>
      <c r="F18" s="2"/>
    </row>
    <row r="19" spans="1:6" x14ac:dyDescent="0.3">
      <c r="A19" s="6">
        <f t="shared" si="1"/>
        <v>46217</v>
      </c>
      <c r="B19" s="304">
        <v>0</v>
      </c>
      <c r="C19" s="33">
        <f t="shared" si="0"/>
        <v>0</v>
      </c>
      <c r="D19" s="405"/>
      <c r="E19" s="2"/>
      <c r="F19" s="2"/>
    </row>
    <row r="20" spans="1:6" x14ac:dyDescent="0.3">
      <c r="A20" s="6">
        <f t="shared" si="1"/>
        <v>46218</v>
      </c>
      <c r="B20" s="304">
        <v>0</v>
      </c>
      <c r="C20" s="33">
        <f t="shared" si="0"/>
        <v>0</v>
      </c>
      <c r="D20" s="405"/>
      <c r="E20" s="2"/>
      <c r="F20" s="2"/>
    </row>
    <row r="21" spans="1:6" x14ac:dyDescent="0.3">
      <c r="A21" s="6">
        <f t="shared" si="1"/>
        <v>46219</v>
      </c>
      <c r="B21" s="304">
        <v>0</v>
      </c>
      <c r="C21" s="33">
        <f t="shared" si="0"/>
        <v>0</v>
      </c>
      <c r="D21" s="405"/>
      <c r="E21" s="2"/>
      <c r="F21" s="2"/>
    </row>
    <row r="22" spans="1:6" x14ac:dyDescent="0.3">
      <c r="A22" s="6">
        <f t="shared" si="1"/>
        <v>46220</v>
      </c>
      <c r="B22" s="304">
        <v>0</v>
      </c>
      <c r="C22" s="33">
        <f t="shared" si="0"/>
        <v>0</v>
      </c>
      <c r="D22" s="405"/>
      <c r="E22" s="2"/>
      <c r="F22" s="2"/>
    </row>
    <row r="23" spans="1:6" x14ac:dyDescent="0.3">
      <c r="A23" s="6">
        <f t="shared" si="1"/>
        <v>46221</v>
      </c>
      <c r="B23" s="304">
        <v>0</v>
      </c>
      <c r="C23" s="33">
        <f t="shared" si="0"/>
        <v>0</v>
      </c>
      <c r="D23" s="405"/>
      <c r="E23" s="2"/>
      <c r="F23" s="2"/>
    </row>
    <row r="24" spans="1:6" x14ac:dyDescent="0.3">
      <c r="A24" s="6">
        <f t="shared" si="1"/>
        <v>46222</v>
      </c>
      <c r="B24" s="304">
        <v>0</v>
      </c>
      <c r="C24" s="33">
        <f t="shared" si="0"/>
        <v>0</v>
      </c>
      <c r="D24" s="405"/>
      <c r="E24" s="2"/>
      <c r="F24" s="2"/>
    </row>
    <row r="25" spans="1:6" s="331" customFormat="1" x14ac:dyDescent="0.3">
      <c r="A25" s="315">
        <f t="shared" si="1"/>
        <v>46223</v>
      </c>
      <c r="B25" s="304">
        <v>0</v>
      </c>
      <c r="C25" s="33">
        <f t="shared" si="0"/>
        <v>0</v>
      </c>
      <c r="D25" s="405"/>
      <c r="E25" s="332"/>
      <c r="F25" s="332"/>
    </row>
    <row r="26" spans="1:6" x14ac:dyDescent="0.3">
      <c r="A26" s="6">
        <f t="shared" si="1"/>
        <v>46224</v>
      </c>
      <c r="B26" s="304">
        <v>0</v>
      </c>
      <c r="C26" s="33">
        <f t="shared" si="0"/>
        <v>0</v>
      </c>
      <c r="D26" s="405"/>
      <c r="E26" s="2"/>
      <c r="F26" s="2"/>
    </row>
    <row r="27" spans="1:6" x14ac:dyDescent="0.3">
      <c r="A27" s="6">
        <f t="shared" si="1"/>
        <v>46225</v>
      </c>
      <c r="B27" s="304">
        <v>0</v>
      </c>
      <c r="C27" s="33">
        <f t="shared" si="0"/>
        <v>0</v>
      </c>
      <c r="D27" s="405"/>
      <c r="E27" s="2"/>
      <c r="F27" s="2"/>
    </row>
    <row r="28" spans="1:6" x14ac:dyDescent="0.3">
      <c r="A28" s="6">
        <f t="shared" si="1"/>
        <v>46226</v>
      </c>
      <c r="B28" s="304">
        <v>0</v>
      </c>
      <c r="C28" s="33">
        <f t="shared" si="0"/>
        <v>0</v>
      </c>
      <c r="D28" s="405"/>
      <c r="E28" s="2"/>
      <c r="F28" s="2"/>
    </row>
    <row r="29" spans="1:6" x14ac:dyDescent="0.3">
      <c r="A29" s="6">
        <f t="shared" si="1"/>
        <v>46227</v>
      </c>
      <c r="B29" s="304">
        <v>0</v>
      </c>
      <c r="C29" s="33">
        <f t="shared" si="0"/>
        <v>0</v>
      </c>
      <c r="D29" s="405"/>
      <c r="E29" s="2"/>
      <c r="F29" s="2"/>
    </row>
    <row r="30" spans="1:6" x14ac:dyDescent="0.3">
      <c r="A30" s="6">
        <f t="shared" si="1"/>
        <v>46228</v>
      </c>
      <c r="B30" s="304">
        <v>0</v>
      </c>
      <c r="C30" s="33">
        <f t="shared" si="0"/>
        <v>0</v>
      </c>
      <c r="D30" s="405"/>
    </row>
    <row r="31" spans="1:6" x14ac:dyDescent="0.3">
      <c r="A31" s="6">
        <f t="shared" si="1"/>
        <v>46229</v>
      </c>
      <c r="B31" s="304">
        <v>0</v>
      </c>
      <c r="C31" s="33">
        <f t="shared" si="0"/>
        <v>0</v>
      </c>
      <c r="D31" s="405"/>
    </row>
    <row r="32" spans="1:6" x14ac:dyDescent="0.3">
      <c r="A32" s="6">
        <f t="shared" si="1"/>
        <v>46230</v>
      </c>
      <c r="B32" s="304">
        <v>0</v>
      </c>
      <c r="C32" s="33">
        <f t="shared" si="0"/>
        <v>0</v>
      </c>
      <c r="D32" s="405"/>
    </row>
    <row r="33" spans="1:4" x14ac:dyDescent="0.3">
      <c r="A33" s="6">
        <f t="shared" si="1"/>
        <v>46231</v>
      </c>
      <c r="B33" s="304">
        <v>0</v>
      </c>
      <c r="C33" s="33">
        <f t="shared" si="0"/>
        <v>0</v>
      </c>
      <c r="D33" s="405"/>
    </row>
    <row r="34" spans="1:4" x14ac:dyDescent="0.3">
      <c r="A34" s="6">
        <f t="shared" si="1"/>
        <v>46232</v>
      </c>
      <c r="B34" s="304">
        <v>0</v>
      </c>
      <c r="C34" s="33">
        <f t="shared" si="0"/>
        <v>0</v>
      </c>
      <c r="D34" s="405"/>
    </row>
    <row r="35" spans="1:4" x14ac:dyDescent="0.3">
      <c r="A35" s="6">
        <f t="shared" si="1"/>
        <v>46233</v>
      </c>
      <c r="B35" s="304">
        <v>0</v>
      </c>
      <c r="C35" s="33">
        <f t="shared" ref="C35" si="2">SUM(B35:B35)</f>
        <v>0</v>
      </c>
      <c r="D35" s="405"/>
    </row>
    <row r="36" spans="1:4" x14ac:dyDescent="0.3">
      <c r="A36" s="6">
        <f t="shared" si="1"/>
        <v>46234</v>
      </c>
      <c r="B36" s="304">
        <v>0</v>
      </c>
      <c r="C36" s="33">
        <f t="shared" ref="C36" si="3">SUM(B36:B36)</f>
        <v>0</v>
      </c>
      <c r="D36" s="405"/>
    </row>
    <row r="37" spans="1:4" x14ac:dyDescent="0.3">
      <c r="A37" s="939"/>
      <c r="B37" s="939"/>
      <c r="C37" s="939"/>
      <c r="D37" s="404"/>
    </row>
    <row r="38" spans="1:4" x14ac:dyDescent="0.3">
      <c r="A38" s="943" t="s">
        <v>56</v>
      </c>
      <c r="B38" s="943"/>
      <c r="C38" s="943"/>
      <c r="D38" s="408"/>
    </row>
    <row r="39" spans="1:4" s="45" customFormat="1" ht="41.4" x14ac:dyDescent="0.3">
      <c r="A39" s="51" t="s">
        <v>2</v>
      </c>
      <c r="B39" s="56" t="str">
        <f>B5</f>
        <v>LD2603310210
(C.D 02.02.2026, M.D 02.06.2026)</v>
      </c>
      <c r="C39" s="73" t="s">
        <v>0</v>
      </c>
      <c r="D39" s="409"/>
    </row>
    <row r="40" spans="1:4" s="91" customFormat="1" ht="41.4" x14ac:dyDescent="0.25">
      <c r="A40" s="88" t="s">
        <v>273</v>
      </c>
      <c r="B40" s="415">
        <f>10.49%+0.75%</f>
        <v>0.1124</v>
      </c>
      <c r="C40" s="92"/>
      <c r="D40" s="410"/>
    </row>
    <row r="41" spans="1:4" x14ac:dyDescent="0.3">
      <c r="A41" s="6">
        <f t="shared" ref="A41:A70" si="4">+A6</f>
        <v>46204</v>
      </c>
      <c r="B41" s="33">
        <f t="shared" ref="B41:B71" si="5">IF(B6&lt;0,0,B6*B$40/365)</f>
        <v>0</v>
      </c>
      <c r="C41" s="33">
        <f t="shared" ref="C41:C72" si="6">SUM(B41:B41)</f>
        <v>0</v>
      </c>
      <c r="D41" s="405"/>
    </row>
    <row r="42" spans="1:4" x14ac:dyDescent="0.3">
      <c r="A42" s="6">
        <f t="shared" si="4"/>
        <v>46205</v>
      </c>
      <c r="B42" s="33">
        <f t="shared" si="5"/>
        <v>0</v>
      </c>
      <c r="C42" s="33">
        <f t="shared" si="6"/>
        <v>0</v>
      </c>
      <c r="D42" s="405"/>
    </row>
    <row r="43" spans="1:4" x14ac:dyDescent="0.3">
      <c r="A43" s="6">
        <f t="shared" si="4"/>
        <v>46206</v>
      </c>
      <c r="B43" s="33">
        <f t="shared" si="5"/>
        <v>0</v>
      </c>
      <c r="C43" s="33">
        <f t="shared" si="6"/>
        <v>0</v>
      </c>
      <c r="D43" s="405"/>
    </row>
    <row r="44" spans="1:4" x14ac:dyDescent="0.3">
      <c r="A44" s="6">
        <f t="shared" si="4"/>
        <v>46207</v>
      </c>
      <c r="B44" s="33">
        <f t="shared" si="5"/>
        <v>0</v>
      </c>
      <c r="C44" s="33">
        <f t="shared" si="6"/>
        <v>0</v>
      </c>
      <c r="D44" s="405"/>
    </row>
    <row r="45" spans="1:4" x14ac:dyDescent="0.3">
      <c r="A45" s="6">
        <f t="shared" si="4"/>
        <v>46208</v>
      </c>
      <c r="B45" s="33">
        <f t="shared" si="5"/>
        <v>0</v>
      </c>
      <c r="C45" s="33">
        <f t="shared" si="6"/>
        <v>0</v>
      </c>
      <c r="D45" s="405"/>
    </row>
    <row r="46" spans="1:4" x14ac:dyDescent="0.3">
      <c r="A46" s="6">
        <f t="shared" si="4"/>
        <v>46209</v>
      </c>
      <c r="B46" s="33">
        <f t="shared" si="5"/>
        <v>0</v>
      </c>
      <c r="C46" s="33">
        <f t="shared" si="6"/>
        <v>0</v>
      </c>
      <c r="D46" s="405"/>
    </row>
    <row r="47" spans="1:4" x14ac:dyDescent="0.3">
      <c r="A47" s="6">
        <f t="shared" si="4"/>
        <v>46210</v>
      </c>
      <c r="B47" s="33">
        <f t="shared" si="5"/>
        <v>0</v>
      </c>
      <c r="C47" s="33">
        <f t="shared" si="6"/>
        <v>0</v>
      </c>
      <c r="D47" s="405"/>
    </row>
    <row r="48" spans="1:4" x14ac:dyDescent="0.3">
      <c r="A48" s="6">
        <f t="shared" si="4"/>
        <v>46211</v>
      </c>
      <c r="B48" s="33">
        <f t="shared" si="5"/>
        <v>0</v>
      </c>
      <c r="C48" s="33">
        <f t="shared" si="6"/>
        <v>0</v>
      </c>
      <c r="D48" s="405"/>
    </row>
    <row r="49" spans="1:4" x14ac:dyDescent="0.3">
      <c r="A49" s="6">
        <f t="shared" si="4"/>
        <v>46212</v>
      </c>
      <c r="B49" s="33">
        <f t="shared" si="5"/>
        <v>0</v>
      </c>
      <c r="C49" s="33">
        <f t="shared" si="6"/>
        <v>0</v>
      </c>
      <c r="D49" s="405"/>
    </row>
    <row r="50" spans="1:4" x14ac:dyDescent="0.3">
      <c r="A50" s="6">
        <f t="shared" si="4"/>
        <v>46213</v>
      </c>
      <c r="B50" s="33">
        <f t="shared" si="5"/>
        <v>0</v>
      </c>
      <c r="C50" s="33">
        <f t="shared" si="6"/>
        <v>0</v>
      </c>
      <c r="D50" s="405"/>
    </row>
    <row r="51" spans="1:4" x14ac:dyDescent="0.3">
      <c r="A51" s="6">
        <f t="shared" si="4"/>
        <v>46214</v>
      </c>
      <c r="B51" s="33">
        <f t="shared" si="5"/>
        <v>0</v>
      </c>
      <c r="C51" s="33">
        <f t="shared" si="6"/>
        <v>0</v>
      </c>
      <c r="D51" s="405"/>
    </row>
    <row r="52" spans="1:4" x14ac:dyDescent="0.3">
      <c r="A52" s="6">
        <f t="shared" si="4"/>
        <v>46215</v>
      </c>
      <c r="B52" s="33">
        <f t="shared" si="5"/>
        <v>0</v>
      </c>
      <c r="C52" s="33">
        <f t="shared" si="6"/>
        <v>0</v>
      </c>
      <c r="D52" s="405"/>
    </row>
    <row r="53" spans="1:4" x14ac:dyDescent="0.3">
      <c r="A53" s="6">
        <f t="shared" si="4"/>
        <v>46216</v>
      </c>
      <c r="B53" s="33">
        <f t="shared" si="5"/>
        <v>0</v>
      </c>
      <c r="C53" s="33">
        <f t="shared" si="6"/>
        <v>0</v>
      </c>
      <c r="D53" s="405"/>
    </row>
    <row r="54" spans="1:4" x14ac:dyDescent="0.3">
      <c r="A54" s="6">
        <f t="shared" si="4"/>
        <v>46217</v>
      </c>
      <c r="B54" s="33">
        <f t="shared" si="5"/>
        <v>0</v>
      </c>
      <c r="C54" s="33">
        <f t="shared" si="6"/>
        <v>0</v>
      </c>
      <c r="D54" s="405"/>
    </row>
    <row r="55" spans="1:4" x14ac:dyDescent="0.3">
      <c r="A55" s="6">
        <f t="shared" si="4"/>
        <v>46218</v>
      </c>
      <c r="B55" s="33">
        <f t="shared" si="5"/>
        <v>0</v>
      </c>
      <c r="C55" s="33">
        <f t="shared" si="6"/>
        <v>0</v>
      </c>
      <c r="D55" s="405"/>
    </row>
    <row r="56" spans="1:4" x14ac:dyDescent="0.3">
      <c r="A56" s="6">
        <f t="shared" si="4"/>
        <v>46219</v>
      </c>
      <c r="B56" s="33">
        <f t="shared" si="5"/>
        <v>0</v>
      </c>
      <c r="C56" s="33">
        <f t="shared" si="6"/>
        <v>0</v>
      </c>
      <c r="D56" s="405"/>
    </row>
    <row r="57" spans="1:4" x14ac:dyDescent="0.3">
      <c r="A57" s="6">
        <f t="shared" si="4"/>
        <v>46220</v>
      </c>
      <c r="B57" s="33">
        <f t="shared" si="5"/>
        <v>0</v>
      </c>
      <c r="C57" s="33">
        <f t="shared" si="6"/>
        <v>0</v>
      </c>
      <c r="D57" s="405"/>
    </row>
    <row r="58" spans="1:4" x14ac:dyDescent="0.3">
      <c r="A58" s="6">
        <f t="shared" si="4"/>
        <v>46221</v>
      </c>
      <c r="B58" s="33">
        <f t="shared" si="5"/>
        <v>0</v>
      </c>
      <c r="C58" s="33">
        <f t="shared" si="6"/>
        <v>0</v>
      </c>
      <c r="D58" s="405"/>
    </row>
    <row r="59" spans="1:4" x14ac:dyDescent="0.3">
      <c r="A59" s="6">
        <f t="shared" si="4"/>
        <v>46222</v>
      </c>
      <c r="B59" s="33">
        <f t="shared" si="5"/>
        <v>0</v>
      </c>
      <c r="C59" s="33">
        <f t="shared" si="6"/>
        <v>0</v>
      </c>
      <c r="D59" s="405"/>
    </row>
    <row r="60" spans="1:4" x14ac:dyDescent="0.3">
      <c r="A60" s="6">
        <f t="shared" si="4"/>
        <v>46223</v>
      </c>
      <c r="B60" s="33">
        <f t="shared" si="5"/>
        <v>0</v>
      </c>
      <c r="C60" s="33">
        <f t="shared" si="6"/>
        <v>0</v>
      </c>
      <c r="D60" s="405"/>
    </row>
    <row r="61" spans="1:4" x14ac:dyDescent="0.3">
      <c r="A61" s="6">
        <f t="shared" si="4"/>
        <v>46224</v>
      </c>
      <c r="B61" s="33">
        <f t="shared" si="5"/>
        <v>0</v>
      </c>
      <c r="C61" s="33">
        <f t="shared" si="6"/>
        <v>0</v>
      </c>
      <c r="D61" s="405"/>
    </row>
    <row r="62" spans="1:4" x14ac:dyDescent="0.3">
      <c r="A62" s="6">
        <f t="shared" si="4"/>
        <v>46225</v>
      </c>
      <c r="B62" s="33">
        <f t="shared" si="5"/>
        <v>0</v>
      </c>
      <c r="C62" s="33">
        <f t="shared" si="6"/>
        <v>0</v>
      </c>
      <c r="D62" s="405"/>
    </row>
    <row r="63" spans="1:4" x14ac:dyDescent="0.3">
      <c r="A63" s="6">
        <f t="shared" si="4"/>
        <v>46226</v>
      </c>
      <c r="B63" s="33">
        <f t="shared" si="5"/>
        <v>0</v>
      </c>
      <c r="C63" s="33">
        <f t="shared" si="6"/>
        <v>0</v>
      </c>
      <c r="D63" s="405"/>
    </row>
    <row r="64" spans="1:4" ht="14.4" customHeight="1" x14ac:dyDescent="0.3">
      <c r="A64" s="6">
        <f t="shared" si="4"/>
        <v>46227</v>
      </c>
      <c r="B64" s="33">
        <f t="shared" si="5"/>
        <v>0</v>
      </c>
      <c r="C64" s="33">
        <f t="shared" si="6"/>
        <v>0</v>
      </c>
      <c r="D64" s="405"/>
    </row>
    <row r="65" spans="1:4" x14ac:dyDescent="0.3">
      <c r="A65" s="6">
        <f t="shared" si="4"/>
        <v>46228</v>
      </c>
      <c r="B65" s="33">
        <f t="shared" si="5"/>
        <v>0</v>
      </c>
      <c r="C65" s="33">
        <f t="shared" si="6"/>
        <v>0</v>
      </c>
      <c r="D65" s="405"/>
    </row>
    <row r="66" spans="1:4" x14ac:dyDescent="0.3">
      <c r="A66" s="6">
        <f t="shared" si="4"/>
        <v>46229</v>
      </c>
      <c r="B66" s="33">
        <f t="shared" si="5"/>
        <v>0</v>
      </c>
      <c r="C66" s="33">
        <f t="shared" si="6"/>
        <v>0</v>
      </c>
      <c r="D66" s="405"/>
    </row>
    <row r="67" spans="1:4" x14ac:dyDescent="0.3">
      <c r="A67" s="6">
        <f t="shared" si="4"/>
        <v>46230</v>
      </c>
      <c r="B67" s="33">
        <f t="shared" si="5"/>
        <v>0</v>
      </c>
      <c r="C67" s="33">
        <f t="shared" si="6"/>
        <v>0</v>
      </c>
      <c r="D67" s="405"/>
    </row>
    <row r="68" spans="1:4" x14ac:dyDescent="0.3">
      <c r="A68" s="6">
        <f t="shared" si="4"/>
        <v>46231</v>
      </c>
      <c r="B68" s="33">
        <f t="shared" si="5"/>
        <v>0</v>
      </c>
      <c r="C68" s="33">
        <f t="shared" si="6"/>
        <v>0</v>
      </c>
      <c r="D68" s="405"/>
    </row>
    <row r="69" spans="1:4" x14ac:dyDescent="0.3">
      <c r="A69" s="6">
        <f t="shared" si="4"/>
        <v>46232</v>
      </c>
      <c r="B69" s="33">
        <f t="shared" si="5"/>
        <v>0</v>
      </c>
      <c r="C69" s="33">
        <f t="shared" si="6"/>
        <v>0</v>
      </c>
      <c r="D69" s="405"/>
    </row>
    <row r="70" spans="1:4" x14ac:dyDescent="0.3">
      <c r="A70" s="6">
        <f t="shared" si="4"/>
        <v>46233</v>
      </c>
      <c r="B70" s="33">
        <f t="shared" si="5"/>
        <v>0</v>
      </c>
      <c r="C70" s="33">
        <f t="shared" ref="C70" si="7">SUM(B70:B70)</f>
        <v>0</v>
      </c>
      <c r="D70" s="405"/>
    </row>
    <row r="71" spans="1:4" x14ac:dyDescent="0.3">
      <c r="A71" s="6">
        <f t="shared" ref="A71" si="8">+A36</f>
        <v>46234</v>
      </c>
      <c r="B71" s="33">
        <f t="shared" si="5"/>
        <v>0</v>
      </c>
      <c r="C71" s="33">
        <f t="shared" si="6"/>
        <v>0</v>
      </c>
      <c r="D71" s="405"/>
    </row>
    <row r="72" spans="1:4" x14ac:dyDescent="0.3">
      <c r="A72" s="305" t="s">
        <v>14</v>
      </c>
      <c r="B72" s="36">
        <f>SUM(B41:B71)</f>
        <v>0</v>
      </c>
      <c r="C72" s="33">
        <f t="shared" si="6"/>
        <v>0</v>
      </c>
      <c r="D72" s="411"/>
    </row>
    <row r="73" spans="1:4" x14ac:dyDescent="0.3">
      <c r="A73" s="940"/>
      <c r="B73" s="940"/>
      <c r="C73" s="940"/>
      <c r="D73" s="404"/>
    </row>
    <row r="74" spans="1:4" x14ac:dyDescent="0.3">
      <c r="A74" s="943" t="s">
        <v>73</v>
      </c>
      <c r="B74" s="943"/>
      <c r="C74" s="943"/>
      <c r="D74" s="408"/>
    </row>
    <row r="75" spans="1:4" s="45" customFormat="1" ht="41.4" x14ac:dyDescent="0.3">
      <c r="A75" s="51" t="s">
        <v>18</v>
      </c>
      <c r="B75" s="56" t="str">
        <f>B5</f>
        <v>LD2603310210
(C.D 02.02.2026, M.D 02.06.2026)</v>
      </c>
      <c r="C75" s="73" t="s">
        <v>0</v>
      </c>
      <c r="D75" s="409"/>
    </row>
    <row r="76" spans="1:4" x14ac:dyDescent="0.3">
      <c r="A76" s="11" t="s">
        <v>15</v>
      </c>
      <c r="B76" s="226">
        <v>0</v>
      </c>
      <c r="C76" s="309">
        <f>SUM(B76:B76)</f>
        <v>0</v>
      </c>
      <c r="D76" s="412"/>
    </row>
    <row r="77" spans="1:4" x14ac:dyDescent="0.3">
      <c r="A77" s="11" t="s">
        <v>16</v>
      </c>
      <c r="B77" s="33">
        <f>B72</f>
        <v>0</v>
      </c>
      <c r="C77" s="309">
        <f>SUM(B77:B77)</f>
        <v>0</v>
      </c>
      <c r="D77" s="412"/>
    </row>
    <row r="78" spans="1:4" x14ac:dyDescent="0.3">
      <c r="A78" s="11" t="s">
        <v>26</v>
      </c>
      <c r="B78" s="226">
        <v>0</v>
      </c>
      <c r="C78" s="309">
        <f>SUM(B78:B78)</f>
        <v>0</v>
      </c>
      <c r="D78" s="405"/>
    </row>
    <row r="79" spans="1:4" x14ac:dyDescent="0.3">
      <c r="A79" s="11" t="s">
        <v>14</v>
      </c>
      <c r="B79" s="33">
        <f>SUM(B76:B78)</f>
        <v>0</v>
      </c>
      <c r="C79" s="309">
        <f>SUM(B79:B79)</f>
        <v>0</v>
      </c>
      <c r="D79" s="405"/>
    </row>
    <row r="80" spans="1:4" x14ac:dyDescent="0.3">
      <c r="A80" s="939"/>
      <c r="B80" s="939"/>
      <c r="C80" s="939"/>
      <c r="D80" s="404"/>
    </row>
    <row r="81" spans="1:4" s="331" customFormat="1" ht="17.399999999999999" x14ac:dyDescent="0.3">
      <c r="A81" s="518" t="s">
        <v>30</v>
      </c>
      <c r="B81" s="151">
        <v>0</v>
      </c>
      <c r="C81" s="701">
        <f>SUM(B81:B81)</f>
        <v>0</v>
      </c>
      <c r="D81" s="707"/>
    </row>
    <row r="82" spans="1:4" x14ac:dyDescent="0.3">
      <c r="A82" s="940"/>
      <c r="B82" s="940"/>
      <c r="C82" s="940"/>
      <c r="D82" s="404"/>
    </row>
    <row r="83" spans="1:4" s="331" customFormat="1" x14ac:dyDescent="0.3">
      <c r="A83" s="518" t="s">
        <v>4</v>
      </c>
      <c r="B83" s="349"/>
      <c r="C83" s="349"/>
      <c r="D83" s="405"/>
    </row>
    <row r="84" spans="1:4" x14ac:dyDescent="0.3">
      <c r="A84" s="940"/>
      <c r="B84" s="940"/>
      <c r="C84" s="940"/>
      <c r="D84" s="404"/>
    </row>
    <row r="85" spans="1:4" x14ac:dyDescent="0.3">
      <c r="A85" s="28" t="s">
        <v>17</v>
      </c>
      <c r="B85" s="38">
        <f>B72+B83+B78</f>
        <v>0</v>
      </c>
      <c r="C85" s="38">
        <f>SUM(B85:B85)</f>
        <v>0</v>
      </c>
      <c r="D85" s="411"/>
    </row>
    <row r="86" spans="1:4" x14ac:dyDescent="0.3">
      <c r="A86" s="940"/>
      <c r="B86" s="940"/>
      <c r="C86" s="940"/>
      <c r="D86" s="404"/>
    </row>
    <row r="87" spans="1:4" x14ac:dyDescent="0.3">
      <c r="A87" s="99" t="s">
        <v>31</v>
      </c>
      <c r="B87" s="108">
        <f>B79+B83-B81</f>
        <v>0</v>
      </c>
      <c r="C87" s="108">
        <f>SUM(B87:B87)</f>
        <v>0</v>
      </c>
      <c r="D87" s="411"/>
    </row>
    <row r="88" spans="1:4" x14ac:dyDescent="0.3">
      <c r="A88" s="322" t="s">
        <v>264</v>
      </c>
      <c r="B88" s="399"/>
    </row>
    <row r="91" spans="1:4" x14ac:dyDescent="0.3">
      <c r="A91" s="318" t="s">
        <v>265</v>
      </c>
      <c r="B91" s="322">
        <v>9200000080</v>
      </c>
    </row>
    <row r="92" spans="1:4" x14ac:dyDescent="0.3">
      <c r="A92" s="318" t="s">
        <v>266</v>
      </c>
      <c r="B92" s="322">
        <v>40000041</v>
      </c>
    </row>
  </sheetData>
  <mergeCells count="11">
    <mergeCell ref="A1:C1"/>
    <mergeCell ref="A3:C3"/>
    <mergeCell ref="A4:C4"/>
    <mergeCell ref="A37:C37"/>
    <mergeCell ref="A38:C38"/>
    <mergeCell ref="A86:C86"/>
    <mergeCell ref="A73:C73"/>
    <mergeCell ref="A74:C74"/>
    <mergeCell ref="A80:C80"/>
    <mergeCell ref="A82:C82"/>
    <mergeCell ref="A84:C84"/>
  </mergeCells>
  <printOptions horizontalCentered="1" verticalCentered="1"/>
  <pageMargins left="0.23622047244094491" right="0.23622047244094491" top="0.51181102362204722" bottom="0.51181102362204722" header="0.51181102362204722" footer="0.51181102362204722"/>
  <pageSetup scale="4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4322-C4B7-4F68-8F4D-FA0CD6BAADC9}">
  <sheetPr filterMode="1">
    <pageSetUpPr fitToPage="1"/>
  </sheetPr>
  <dimension ref="A1:S235"/>
  <sheetViews>
    <sheetView view="pageBreakPreview" topLeftCell="A5" zoomScale="80" zoomScaleNormal="77" zoomScaleSheetLayoutView="80" workbookViewId="0">
      <selection activeCell="G198" sqref="G198"/>
    </sheetView>
  </sheetViews>
  <sheetFormatPr defaultRowHeight="15.6" x14ac:dyDescent="0.3"/>
  <cols>
    <col min="1" max="1" width="8.26953125" style="433" customWidth="1"/>
    <col min="2" max="2" width="4.81640625" style="420" customWidth="1"/>
    <col min="3" max="3" width="10.54296875" style="420" customWidth="1"/>
    <col min="4" max="4" width="10.6328125" style="420" customWidth="1"/>
    <col min="5" max="5" width="12.54296875" style="775" customWidth="1"/>
    <col min="6" max="6" width="13.36328125" style="420" bestFit="1" customWidth="1"/>
    <col min="7" max="7" width="14.7265625" style="420" bestFit="1" customWidth="1"/>
    <col min="8" max="8" width="17.1796875" style="213" bestFit="1" customWidth="1"/>
    <col min="9" max="9" width="8.81640625" style="420" bestFit="1" customWidth="1"/>
    <col min="10" max="10" width="10.6328125" style="420" customWidth="1"/>
    <col min="11" max="11" width="6.81640625" style="420" customWidth="1"/>
    <col min="12" max="12" width="14" style="420" bestFit="1" customWidth="1"/>
    <col min="13" max="13" width="16.26953125" style="420" bestFit="1" customWidth="1"/>
    <col min="14" max="14" width="15.36328125" style="420" bestFit="1" customWidth="1"/>
    <col min="15" max="15" width="11.36328125" style="420" customWidth="1"/>
    <col min="16" max="16" width="14.08984375" style="420" bestFit="1" customWidth="1"/>
    <col min="17" max="17" width="21.7265625" style="420" customWidth="1"/>
    <col min="18" max="18" width="12.36328125" style="740" customWidth="1"/>
    <col min="19" max="19" width="8.7265625" style="738"/>
    <col min="20" max="20" width="12.36328125" style="420" bestFit="1" customWidth="1"/>
    <col min="21" max="16384" width="8.7265625" style="420"/>
  </cols>
  <sheetData>
    <row r="1" spans="1:19" x14ac:dyDescent="0.3">
      <c r="C1" s="421"/>
      <c r="D1" s="421"/>
      <c r="E1" s="774"/>
      <c r="K1" s="422"/>
    </row>
    <row r="2" spans="1:19" ht="9" customHeight="1" x14ac:dyDescent="0.3">
      <c r="K2" s="422"/>
      <c r="L2" s="423"/>
      <c r="M2" s="424"/>
      <c r="N2" s="424"/>
      <c r="O2" s="424"/>
      <c r="P2" s="424"/>
    </row>
    <row r="3" spans="1:19" ht="21" customHeight="1" thickBot="1" x14ac:dyDescent="0.35">
      <c r="A3" s="743"/>
      <c r="B3" s="628" t="s">
        <v>281</v>
      </c>
      <c r="C3" s="629"/>
      <c r="D3" s="629"/>
      <c r="E3" s="776"/>
      <c r="F3" s="629"/>
      <c r="G3" s="630"/>
      <c r="I3" s="425"/>
      <c r="J3" s="426" t="s">
        <v>238</v>
      </c>
      <c r="K3" s="633"/>
      <c r="L3" s="427" t="s">
        <v>331</v>
      </c>
      <c r="M3" s="428"/>
      <c r="N3" s="428"/>
      <c r="O3" s="428"/>
      <c r="P3" s="428"/>
      <c r="Q3" s="428"/>
    </row>
    <row r="4" spans="1:19" s="616" customFormat="1" ht="16.5" customHeight="1" thickBot="1" x14ac:dyDescent="0.35">
      <c r="A4" s="744"/>
      <c r="B4" s="626"/>
      <c r="C4" s="626"/>
      <c r="D4" s="626"/>
      <c r="E4" s="777"/>
      <c r="F4" s="626"/>
      <c r="G4" s="626"/>
      <c r="H4" s="754" t="s">
        <v>282</v>
      </c>
      <c r="I4" s="634">
        <f ca="1">TODAY()</f>
        <v>46209</v>
      </c>
      <c r="J4" s="635"/>
      <c r="K4" s="636">
        <v>278.60000000000002</v>
      </c>
      <c r="L4" s="632"/>
      <c r="M4" s="627"/>
      <c r="N4" s="627"/>
      <c r="O4" s="627"/>
      <c r="P4" s="627"/>
      <c r="Q4" s="627"/>
      <c r="R4" s="741"/>
      <c r="S4" s="739"/>
    </row>
    <row r="5" spans="1:19" x14ac:dyDescent="0.3">
      <c r="A5" s="743"/>
      <c r="B5" s="429"/>
      <c r="C5" s="430"/>
      <c r="D5" s="430"/>
      <c r="E5" s="778"/>
      <c r="F5" s="431"/>
      <c r="G5" s="432"/>
      <c r="H5" s="755"/>
      <c r="J5" s="433"/>
      <c r="K5" s="631"/>
      <c r="L5" s="434"/>
      <c r="M5" s="435"/>
      <c r="N5" s="435"/>
      <c r="O5" s="435"/>
      <c r="P5" s="435"/>
      <c r="Q5" s="435"/>
    </row>
    <row r="6" spans="1:19" x14ac:dyDescent="0.3">
      <c r="A6" s="745" t="s">
        <v>283</v>
      </c>
      <c r="B6" s="436"/>
      <c r="C6" s="437" t="s">
        <v>284</v>
      </c>
      <c r="D6" s="437" t="s">
        <v>285</v>
      </c>
      <c r="E6" s="779" t="s">
        <v>286</v>
      </c>
      <c r="F6" s="438" t="s">
        <v>287</v>
      </c>
      <c r="G6" s="439" t="s">
        <v>288</v>
      </c>
      <c r="H6" s="756" t="s">
        <v>289</v>
      </c>
      <c r="I6" s="624" t="s">
        <v>290</v>
      </c>
      <c r="J6" s="440"/>
      <c r="K6" s="440"/>
      <c r="L6" s="440" t="s">
        <v>291</v>
      </c>
      <c r="M6" s="440" t="s">
        <v>292</v>
      </c>
      <c r="N6" s="440" t="s">
        <v>293</v>
      </c>
      <c r="O6" s="440" t="s">
        <v>294</v>
      </c>
      <c r="P6" s="440" t="s">
        <v>295</v>
      </c>
      <c r="Q6" s="440" t="s">
        <v>296</v>
      </c>
    </row>
    <row r="7" spans="1:19" ht="15" customHeight="1" x14ac:dyDescent="0.3">
      <c r="A7" s="746" t="s">
        <v>330</v>
      </c>
      <c r="B7" s="441"/>
      <c r="C7" s="535"/>
      <c r="D7" s="536" t="s">
        <v>297</v>
      </c>
      <c r="E7" s="780" t="s">
        <v>131</v>
      </c>
      <c r="F7" s="537" t="s">
        <v>298</v>
      </c>
      <c r="G7" s="538"/>
      <c r="H7" s="757" t="s">
        <v>299</v>
      </c>
      <c r="I7" s="625"/>
      <c r="J7" s="539"/>
      <c r="K7" s="539"/>
      <c r="L7" s="539" t="s">
        <v>300</v>
      </c>
      <c r="M7" s="539" t="s">
        <v>301</v>
      </c>
      <c r="N7" s="539" t="s">
        <v>302</v>
      </c>
      <c r="O7" s="539" t="s">
        <v>303</v>
      </c>
      <c r="P7" s="539" t="s">
        <v>304</v>
      </c>
      <c r="Q7" s="539" t="s">
        <v>305</v>
      </c>
      <c r="R7" s="782" t="s">
        <v>356</v>
      </c>
    </row>
    <row r="8" spans="1:19" hidden="1" x14ac:dyDescent="0.3">
      <c r="A8" s="677" t="s">
        <v>205</v>
      </c>
      <c r="B8" s="677"/>
      <c r="C8" s="430">
        <v>45073</v>
      </c>
      <c r="D8" s="679">
        <v>180</v>
      </c>
      <c r="E8" s="430">
        <v>45253</v>
      </c>
      <c r="F8" s="431">
        <v>139200</v>
      </c>
      <c r="G8" s="680">
        <v>39846000</v>
      </c>
      <c r="H8" s="758">
        <v>286.25</v>
      </c>
      <c r="I8" s="681">
        <v>180</v>
      </c>
      <c r="J8" s="678"/>
      <c r="K8" s="678"/>
      <c r="L8" s="682">
        <v>25097.521643835615</v>
      </c>
      <c r="M8" s="682">
        <v>4517553.895890411</v>
      </c>
      <c r="N8" s="682">
        <v>4517553.895890411</v>
      </c>
      <c r="O8" s="682">
        <v>0.35000000000002274</v>
      </c>
      <c r="P8" s="682">
        <v>48720.000000003165</v>
      </c>
      <c r="Q8" s="682">
        <v>4566273.8958904138</v>
      </c>
      <c r="R8" s="684">
        <v>285.89999999999998</v>
      </c>
      <c r="S8" s="420" t="s">
        <v>339</v>
      </c>
    </row>
    <row r="9" spans="1:19" hidden="1" x14ac:dyDescent="0.3">
      <c r="A9" s="677" t="s">
        <v>338</v>
      </c>
      <c r="B9" s="677"/>
      <c r="C9" s="430">
        <v>45088</v>
      </c>
      <c r="D9" s="679">
        <v>180</v>
      </c>
      <c r="E9" s="430">
        <v>45268</v>
      </c>
      <c r="F9" s="431">
        <v>70000</v>
      </c>
      <c r="G9" s="680">
        <v>20114500</v>
      </c>
      <c r="H9" s="758">
        <v>287.35000000000002</v>
      </c>
      <c r="I9" s="681">
        <v>180</v>
      </c>
      <c r="J9" s="678"/>
      <c r="K9" s="678"/>
      <c r="L9" s="683">
        <v>12355.262739726029</v>
      </c>
      <c r="M9" s="683">
        <v>2223947.2931506853</v>
      </c>
      <c r="N9" s="683">
        <v>2223947.2931506853</v>
      </c>
      <c r="O9" s="683">
        <v>3.1000000000000227</v>
      </c>
      <c r="P9" s="683">
        <v>217000.0000000016</v>
      </c>
      <c r="Q9" s="683">
        <v>2440947.2931506867</v>
      </c>
      <c r="R9" s="646">
        <v>284.25</v>
      </c>
      <c r="S9" s="420" t="s">
        <v>339</v>
      </c>
    </row>
    <row r="10" spans="1:19" hidden="1" x14ac:dyDescent="0.3">
      <c r="A10" s="677" t="s">
        <v>69</v>
      </c>
      <c r="B10" s="677"/>
      <c r="C10" s="430">
        <v>45212</v>
      </c>
      <c r="D10" s="679">
        <v>90</v>
      </c>
      <c r="E10" s="430">
        <v>45302</v>
      </c>
      <c r="F10" s="431">
        <v>45056</v>
      </c>
      <c r="G10" s="680">
        <v>12568371.199999999</v>
      </c>
      <c r="H10" s="758">
        <v>278.95</v>
      </c>
      <c r="I10" s="681">
        <v>90</v>
      </c>
      <c r="J10" s="678"/>
      <c r="K10" s="678"/>
      <c r="L10" s="683">
        <v>7620.2206755068482</v>
      </c>
      <c r="M10" s="683">
        <v>685819.86079561629</v>
      </c>
      <c r="N10" s="683">
        <v>685819.86079561629</v>
      </c>
      <c r="O10" s="683">
        <v>-2.8500000000000227</v>
      </c>
      <c r="P10" s="683">
        <v>-128409.60000000102</v>
      </c>
      <c r="Q10" s="683">
        <v>557410.26079561526</v>
      </c>
      <c r="R10" s="646">
        <v>281.8</v>
      </c>
      <c r="S10" s="420" t="s">
        <v>339</v>
      </c>
    </row>
    <row r="11" spans="1:19" hidden="1" x14ac:dyDescent="0.3">
      <c r="A11" s="677" t="s">
        <v>68</v>
      </c>
      <c r="B11" s="677"/>
      <c r="C11" s="430">
        <v>45238</v>
      </c>
      <c r="D11" s="679">
        <v>90</v>
      </c>
      <c r="E11" s="430">
        <v>45328</v>
      </c>
      <c r="F11" s="431">
        <v>56640</v>
      </c>
      <c r="G11" s="680">
        <v>15930000</v>
      </c>
      <c r="H11" s="758">
        <v>281.25</v>
      </c>
      <c r="I11" s="681">
        <v>90</v>
      </c>
      <c r="J11" s="678"/>
      <c r="K11" s="678"/>
      <c r="L11" s="683">
        <v>9719.4821917808222</v>
      </c>
      <c r="M11" s="683">
        <v>874753.39726027404</v>
      </c>
      <c r="N11" s="683">
        <v>874753.39726027404</v>
      </c>
      <c r="O11" s="683">
        <v>0.25</v>
      </c>
      <c r="P11" s="683">
        <v>14160</v>
      </c>
      <c r="Q11" s="683">
        <v>888913.39726027404</v>
      </c>
      <c r="R11" s="646">
        <v>281</v>
      </c>
      <c r="S11" s="420" t="s">
        <v>339</v>
      </c>
    </row>
    <row r="12" spans="1:19" hidden="1" x14ac:dyDescent="0.3">
      <c r="A12" s="677" t="s">
        <v>68</v>
      </c>
      <c r="B12" s="677"/>
      <c r="C12" s="430">
        <v>45298</v>
      </c>
      <c r="D12" s="679">
        <v>30</v>
      </c>
      <c r="E12" s="430">
        <v>45328</v>
      </c>
      <c r="F12" s="431">
        <v>17200</v>
      </c>
      <c r="G12" s="680">
        <v>4837500</v>
      </c>
      <c r="H12" s="758">
        <v>281.25</v>
      </c>
      <c r="I12" s="681">
        <v>90</v>
      </c>
      <c r="J12" s="678"/>
      <c r="K12" s="678"/>
      <c r="L12" s="683">
        <v>2951.5376712328766</v>
      </c>
      <c r="M12" s="683">
        <v>265638.39041095891</v>
      </c>
      <c r="N12" s="683">
        <v>265638.39041095891</v>
      </c>
      <c r="O12" s="683">
        <v>0.25</v>
      </c>
      <c r="P12" s="683">
        <v>4300</v>
      </c>
      <c r="Q12" s="683">
        <v>269938.39041095891</v>
      </c>
      <c r="R12" s="646">
        <v>281</v>
      </c>
      <c r="S12" s="420" t="s">
        <v>339</v>
      </c>
    </row>
    <row r="13" spans="1:19" hidden="1" x14ac:dyDescent="0.3">
      <c r="A13" s="677" t="s">
        <v>207</v>
      </c>
      <c r="B13" s="677"/>
      <c r="C13" s="430">
        <v>45183</v>
      </c>
      <c r="D13" s="679">
        <v>60</v>
      </c>
      <c r="E13" s="430">
        <v>45243</v>
      </c>
      <c r="F13" s="431">
        <v>127709.85</v>
      </c>
      <c r="G13" s="680">
        <v>36793207.785000004</v>
      </c>
      <c r="H13" s="758">
        <v>288.10000000000002</v>
      </c>
      <c r="I13" s="681">
        <v>60</v>
      </c>
      <c r="J13" s="678"/>
      <c r="K13" s="678"/>
      <c r="L13" s="683">
        <v>22620.262539600004</v>
      </c>
      <c r="M13" s="683">
        <v>1357215.7523760002</v>
      </c>
      <c r="N13" s="683">
        <v>1357215.7523760002</v>
      </c>
      <c r="O13" s="683">
        <v>-0.39999999999997726</v>
      </c>
      <c r="P13" s="683">
        <v>-51083.939999997099</v>
      </c>
      <c r="Q13" s="683">
        <v>1306131.812376003</v>
      </c>
      <c r="R13" s="646">
        <v>288.5</v>
      </c>
      <c r="S13" s="420" t="s">
        <v>339</v>
      </c>
    </row>
    <row r="14" spans="1:19" hidden="1" x14ac:dyDescent="0.3">
      <c r="A14" s="677" t="s">
        <v>207</v>
      </c>
      <c r="B14" s="677"/>
      <c r="C14" s="430">
        <v>45467</v>
      </c>
      <c r="D14" s="679">
        <v>60</v>
      </c>
      <c r="E14" s="430">
        <v>45407</v>
      </c>
      <c r="F14" s="431">
        <v>219450</v>
      </c>
      <c r="G14" s="680">
        <v>61435027.5</v>
      </c>
      <c r="H14" s="758">
        <v>279.95</v>
      </c>
      <c r="I14" s="681">
        <v>60</v>
      </c>
      <c r="J14" s="678"/>
      <c r="K14" s="678"/>
      <c r="L14" s="683">
        <v>37433.287989041091</v>
      </c>
      <c r="M14" s="683">
        <v>2245997.2793424656</v>
      </c>
      <c r="N14" s="683">
        <v>2245997.2793424656</v>
      </c>
      <c r="O14" s="683">
        <v>0.64999999999997726</v>
      </c>
      <c r="P14" s="683">
        <v>142642.49999999502</v>
      </c>
      <c r="Q14" s="683">
        <v>2388639.7793424604</v>
      </c>
      <c r="R14" s="646">
        <v>279.3</v>
      </c>
      <c r="S14" s="420" t="s">
        <v>339</v>
      </c>
    </row>
    <row r="15" spans="1:19" hidden="1" x14ac:dyDescent="0.3">
      <c r="A15" s="677" t="s">
        <v>68</v>
      </c>
      <c r="B15" s="677"/>
      <c r="C15" s="430">
        <v>45388</v>
      </c>
      <c r="D15" s="679">
        <v>90</v>
      </c>
      <c r="E15" s="778">
        <v>45478</v>
      </c>
      <c r="F15" s="431">
        <v>50000</v>
      </c>
      <c r="G15" s="680">
        <v>13917500.000000002</v>
      </c>
      <c r="H15" s="758">
        <v>278.35000000000002</v>
      </c>
      <c r="I15" s="681">
        <v>90</v>
      </c>
      <c r="J15" s="678"/>
      <c r="K15" s="678"/>
      <c r="L15" s="683">
        <v>8079.7760273972617</v>
      </c>
      <c r="M15" s="683">
        <v>727179.84246575355</v>
      </c>
      <c r="N15" s="683">
        <v>727179.84246575355</v>
      </c>
      <c r="O15" s="683">
        <v>-1.1499999999999773</v>
      </c>
      <c r="P15" s="683">
        <v>-57499.999999998865</v>
      </c>
      <c r="Q15" s="683">
        <v>669679.84246575471</v>
      </c>
      <c r="R15" s="646">
        <v>279.5</v>
      </c>
      <c r="S15" s="420" t="s">
        <v>339</v>
      </c>
    </row>
    <row r="16" spans="1:19" hidden="1" x14ac:dyDescent="0.3">
      <c r="A16" s="677" t="s">
        <v>68</v>
      </c>
      <c r="B16" s="677"/>
      <c r="C16" s="430">
        <v>45388</v>
      </c>
      <c r="D16" s="679">
        <v>90</v>
      </c>
      <c r="E16" s="778">
        <v>45478</v>
      </c>
      <c r="F16" s="431">
        <v>15300</v>
      </c>
      <c r="G16" s="680">
        <v>4258755</v>
      </c>
      <c r="H16" s="758">
        <v>278.35000000000002</v>
      </c>
      <c r="I16" s="681">
        <v>90</v>
      </c>
      <c r="J16" s="678"/>
      <c r="K16" s="678"/>
      <c r="L16" s="683">
        <v>2472.4114643835619</v>
      </c>
      <c r="M16" s="683">
        <v>222517.03179452056</v>
      </c>
      <c r="N16" s="683">
        <v>222517.03179452056</v>
      </c>
      <c r="O16" s="683">
        <v>-1.1499999999999773</v>
      </c>
      <c r="P16" s="683">
        <v>-17594.999999999651</v>
      </c>
      <c r="Q16" s="683">
        <v>204922.03179452091</v>
      </c>
      <c r="R16" s="646">
        <v>279.5</v>
      </c>
      <c r="S16" s="420" t="s">
        <v>339</v>
      </c>
    </row>
    <row r="17" spans="1:19" hidden="1" x14ac:dyDescent="0.3">
      <c r="A17" s="677" t="s">
        <v>205</v>
      </c>
      <c r="B17" s="677"/>
      <c r="C17" s="430">
        <v>45112</v>
      </c>
      <c r="D17" s="679">
        <v>90</v>
      </c>
      <c r="E17" s="430">
        <v>45202</v>
      </c>
      <c r="F17" s="431">
        <v>87155.27</v>
      </c>
      <c r="G17" s="680">
        <v>24307604.802999999</v>
      </c>
      <c r="H17" s="758">
        <v>278.89999999999998</v>
      </c>
      <c r="I17" s="681">
        <v>90</v>
      </c>
      <c r="J17" s="678"/>
      <c r="K17" s="678"/>
      <c r="L17" s="682">
        <v>15337.099688029864</v>
      </c>
      <c r="M17" s="682">
        <v>1380338.9719226877</v>
      </c>
      <c r="N17" s="682">
        <v>1380338.9719226877</v>
      </c>
      <c r="O17" s="682">
        <v>-7.8500000000000227</v>
      </c>
      <c r="P17" s="682">
        <v>-684168.86950000201</v>
      </c>
      <c r="Q17" s="682">
        <v>696170.10242268571</v>
      </c>
      <c r="R17" s="684">
        <v>286.75</v>
      </c>
      <c r="S17" s="420" t="s">
        <v>339</v>
      </c>
    </row>
    <row r="18" spans="1:19" hidden="1" x14ac:dyDescent="0.3">
      <c r="A18" s="677" t="s">
        <v>205</v>
      </c>
      <c r="B18" s="677"/>
      <c r="C18" s="430">
        <v>45119</v>
      </c>
      <c r="D18" s="679">
        <v>90</v>
      </c>
      <c r="E18" s="430">
        <v>45209</v>
      </c>
      <c r="F18" s="431">
        <v>37500</v>
      </c>
      <c r="G18" s="680">
        <v>10460625</v>
      </c>
      <c r="H18" s="758">
        <v>278.95</v>
      </c>
      <c r="I18" s="681">
        <v>90</v>
      </c>
      <c r="J18" s="678"/>
      <c r="K18" s="678"/>
      <c r="L18" s="682">
        <v>6614.5541095890403</v>
      </c>
      <c r="M18" s="682">
        <v>595309.86986301362</v>
      </c>
      <c r="N18" s="682">
        <v>595309.86986301362</v>
      </c>
      <c r="O18" s="682">
        <v>-2.9000000000000341</v>
      </c>
      <c r="P18" s="682">
        <v>-108750.00000000128</v>
      </c>
      <c r="Q18" s="682">
        <v>486559.86986301234</v>
      </c>
      <c r="R18" s="684">
        <v>281.85000000000002</v>
      </c>
      <c r="S18" s="420" t="s">
        <v>339</v>
      </c>
    </row>
    <row r="19" spans="1:19" hidden="1" x14ac:dyDescent="0.3">
      <c r="A19" s="677" t="s">
        <v>205</v>
      </c>
      <c r="B19" s="677"/>
      <c r="C19" s="430">
        <v>45135</v>
      </c>
      <c r="D19" s="679">
        <v>90</v>
      </c>
      <c r="E19" s="430">
        <v>45225</v>
      </c>
      <c r="F19" s="431">
        <v>22528</v>
      </c>
      <c r="G19" s="680">
        <v>6280806.4000000004</v>
      </c>
      <c r="H19" s="758">
        <v>278.8</v>
      </c>
      <c r="I19" s="681">
        <v>90</v>
      </c>
      <c r="J19" s="678"/>
      <c r="K19" s="678"/>
      <c r="L19" s="682">
        <v>3935.3984210410958</v>
      </c>
      <c r="M19" s="682">
        <v>354185.85789369862</v>
      </c>
      <c r="N19" s="682">
        <v>354185.85789369862</v>
      </c>
      <c r="O19" s="682">
        <v>-1.5399999999999636</v>
      </c>
      <c r="P19" s="682">
        <v>-34693.11999999918</v>
      </c>
      <c r="Q19" s="682">
        <v>319492.73789369944</v>
      </c>
      <c r="R19" s="684">
        <v>280.33999999999997</v>
      </c>
      <c r="S19" s="420" t="s">
        <v>339</v>
      </c>
    </row>
    <row r="20" spans="1:19" hidden="1" x14ac:dyDescent="0.3">
      <c r="A20" s="677" t="s">
        <v>205</v>
      </c>
      <c r="B20" s="677"/>
      <c r="C20" s="430">
        <v>45386</v>
      </c>
      <c r="D20" s="679">
        <v>90</v>
      </c>
      <c r="E20" s="778">
        <v>45476</v>
      </c>
      <c r="F20" s="431">
        <v>76320</v>
      </c>
      <c r="G20" s="680">
        <v>21243672</v>
      </c>
      <c r="H20" s="758">
        <v>278.35000000000002</v>
      </c>
      <c r="I20" s="681">
        <v>90</v>
      </c>
      <c r="J20" s="678"/>
      <c r="K20" s="678"/>
      <c r="L20" s="682">
        <v>12554.137124383562</v>
      </c>
      <c r="M20" s="682">
        <v>1129872.3411945205</v>
      </c>
      <c r="N20" s="682">
        <v>1129872.3411945205</v>
      </c>
      <c r="O20" s="682">
        <v>-1.0999999999999659</v>
      </c>
      <c r="P20" s="682">
        <v>-83951.999999997395</v>
      </c>
      <c r="Q20" s="682">
        <v>1045920.341194523</v>
      </c>
      <c r="R20" s="684">
        <v>279.45</v>
      </c>
      <c r="S20" s="420" t="s">
        <v>339</v>
      </c>
    </row>
    <row r="21" spans="1:19" hidden="1" x14ac:dyDescent="0.3">
      <c r="A21" s="677" t="s">
        <v>338</v>
      </c>
      <c r="B21" s="677"/>
      <c r="C21" s="430">
        <v>45365</v>
      </c>
      <c r="D21" s="679">
        <v>90</v>
      </c>
      <c r="E21" s="430">
        <v>45455</v>
      </c>
      <c r="F21" s="431">
        <v>56000</v>
      </c>
      <c r="G21" s="680">
        <v>15638000</v>
      </c>
      <c r="H21" s="758">
        <v>279.25</v>
      </c>
      <c r="I21" s="681">
        <v>90</v>
      </c>
      <c r="J21" s="678"/>
      <c r="K21" s="678"/>
      <c r="L21" s="683">
        <v>8937.2241095890404</v>
      </c>
      <c r="M21" s="683">
        <v>804350.16986301367</v>
      </c>
      <c r="N21" s="683">
        <v>804350.16986301367</v>
      </c>
      <c r="O21" s="683">
        <v>0.14999999999997726</v>
      </c>
      <c r="P21" s="683">
        <v>8399.9999999987267</v>
      </c>
      <c r="Q21" s="683">
        <v>812750.16986301239</v>
      </c>
      <c r="R21" s="646">
        <v>279.10000000000002</v>
      </c>
      <c r="S21" s="420" t="s">
        <v>339</v>
      </c>
    </row>
    <row r="22" spans="1:19" hidden="1" x14ac:dyDescent="0.3">
      <c r="A22" s="677" t="s">
        <v>66</v>
      </c>
      <c r="B22" s="677"/>
      <c r="C22" s="430">
        <v>45381</v>
      </c>
      <c r="D22" s="679">
        <v>60</v>
      </c>
      <c r="E22" s="430">
        <v>45441</v>
      </c>
      <c r="F22" s="431">
        <v>150000</v>
      </c>
      <c r="G22" s="680">
        <v>41775000</v>
      </c>
      <c r="H22" s="758">
        <v>278.5</v>
      </c>
      <c r="I22" s="681">
        <v>60</v>
      </c>
      <c r="J22" s="678"/>
      <c r="K22" s="678"/>
      <c r="L22" s="683">
        <v>25568.589041095889</v>
      </c>
      <c r="M22" s="683">
        <v>1534115.3424657534</v>
      </c>
      <c r="N22" s="683">
        <v>1534115.3424657534</v>
      </c>
      <c r="O22" s="683">
        <v>-0.44999999999998863</v>
      </c>
      <c r="P22" s="683">
        <v>-67499.999999998297</v>
      </c>
      <c r="Q22" s="683">
        <v>1466615.3424657551</v>
      </c>
      <c r="R22" s="646">
        <v>278.95</v>
      </c>
      <c r="S22" s="420" t="s">
        <v>339</v>
      </c>
    </row>
    <row r="23" spans="1:19" hidden="1" x14ac:dyDescent="0.3">
      <c r="A23" s="677" t="s">
        <v>66</v>
      </c>
      <c r="B23" s="677"/>
      <c r="C23" s="430">
        <v>45381</v>
      </c>
      <c r="D23" s="679">
        <v>60</v>
      </c>
      <c r="E23" s="430">
        <v>45441</v>
      </c>
      <c r="F23" s="431">
        <v>150000</v>
      </c>
      <c r="G23" s="680">
        <v>41775000</v>
      </c>
      <c r="H23" s="758">
        <v>278.5</v>
      </c>
      <c r="I23" s="681">
        <v>60</v>
      </c>
      <c r="J23" s="678"/>
      <c r="K23" s="678"/>
      <c r="L23" s="683">
        <v>25568.589041095889</v>
      </c>
      <c r="M23" s="683">
        <v>1534115.3424657534</v>
      </c>
      <c r="N23" s="683">
        <v>1534115.3424657534</v>
      </c>
      <c r="O23" s="683">
        <v>-0.44999999999998863</v>
      </c>
      <c r="P23" s="683">
        <v>-67499.999999998297</v>
      </c>
      <c r="Q23" s="683">
        <v>1466615.3424657551</v>
      </c>
      <c r="R23" s="646">
        <v>278.95</v>
      </c>
      <c r="S23" s="420" t="s">
        <v>339</v>
      </c>
    </row>
    <row r="24" spans="1:19" hidden="1" x14ac:dyDescent="0.3">
      <c r="A24" s="677" t="s">
        <v>66</v>
      </c>
      <c r="B24" s="677"/>
      <c r="C24" s="430">
        <v>45379</v>
      </c>
      <c r="D24" s="679">
        <v>60</v>
      </c>
      <c r="E24" s="430">
        <v>45439</v>
      </c>
      <c r="F24" s="431">
        <v>240000</v>
      </c>
      <c r="G24" s="680">
        <v>66840000</v>
      </c>
      <c r="H24" s="758">
        <v>278.5</v>
      </c>
      <c r="I24" s="681">
        <v>60</v>
      </c>
      <c r="J24" s="678"/>
      <c r="K24" s="678"/>
      <c r="L24" s="683">
        <v>40909.742465753421</v>
      </c>
      <c r="M24" s="683">
        <v>2454584.5479452051</v>
      </c>
      <c r="N24" s="683">
        <v>2454584.5479452051</v>
      </c>
      <c r="O24" s="683">
        <v>-0.35000000000002274</v>
      </c>
      <c r="P24" s="683">
        <v>-84000.000000005457</v>
      </c>
      <c r="Q24" s="683">
        <v>2370584.5479451995</v>
      </c>
      <c r="R24" s="646">
        <v>278.85000000000002</v>
      </c>
      <c r="S24" s="420" t="s">
        <v>339</v>
      </c>
    </row>
    <row r="25" spans="1:19" hidden="1" x14ac:dyDescent="0.3">
      <c r="A25" s="677" t="s">
        <v>66</v>
      </c>
      <c r="B25" s="677"/>
      <c r="C25" s="430">
        <v>45386</v>
      </c>
      <c r="D25" s="679">
        <v>60</v>
      </c>
      <c r="E25" s="430">
        <v>45446</v>
      </c>
      <c r="F25" s="431">
        <v>200000</v>
      </c>
      <c r="G25" s="680">
        <v>55670000.000000007</v>
      </c>
      <c r="H25" s="758">
        <v>278.35000000000002</v>
      </c>
      <c r="I25" s="681">
        <v>60</v>
      </c>
      <c r="J25" s="678"/>
      <c r="K25" s="678"/>
      <c r="L25" s="683">
        <v>33447.756164383565</v>
      </c>
      <c r="M25" s="683">
        <v>2006865.369863014</v>
      </c>
      <c r="N25" s="683">
        <v>2006865.369863014</v>
      </c>
      <c r="O25" s="683">
        <v>-0.64999999999997726</v>
      </c>
      <c r="P25" s="683">
        <v>-129999.99999999546</v>
      </c>
      <c r="Q25" s="683">
        <v>1876865.3698630184</v>
      </c>
      <c r="R25" s="646">
        <v>279</v>
      </c>
      <c r="S25" s="420" t="s">
        <v>339</v>
      </c>
    </row>
    <row r="26" spans="1:19" hidden="1" x14ac:dyDescent="0.3">
      <c r="A26" s="677" t="s">
        <v>66</v>
      </c>
      <c r="B26" s="677"/>
      <c r="C26" s="430">
        <v>45421</v>
      </c>
      <c r="D26" s="679">
        <v>90</v>
      </c>
      <c r="E26" s="778">
        <v>45511</v>
      </c>
      <c r="F26" s="431">
        <v>111200</v>
      </c>
      <c r="G26" s="680">
        <v>30924720.000000004</v>
      </c>
      <c r="H26" s="758">
        <v>278.10000000000002</v>
      </c>
      <c r="I26" s="681">
        <v>90</v>
      </c>
      <c r="J26" s="678"/>
      <c r="K26" s="678"/>
      <c r="L26" s="683">
        <v>17360.205830136987</v>
      </c>
      <c r="M26" s="683">
        <v>1562418.5247123288</v>
      </c>
      <c r="N26" s="683">
        <v>1562418.5247123288</v>
      </c>
      <c r="O26" s="683">
        <v>-1.4499999999999886</v>
      </c>
      <c r="P26" s="683">
        <v>-161239.99999999875</v>
      </c>
      <c r="Q26" s="683">
        <v>1401178.52471233</v>
      </c>
      <c r="R26" s="646">
        <v>279.55</v>
      </c>
      <c r="S26" s="420" t="s">
        <v>339</v>
      </c>
    </row>
    <row r="27" spans="1:19" hidden="1" x14ac:dyDescent="0.3">
      <c r="A27" s="677" t="s">
        <v>66</v>
      </c>
      <c r="B27" s="677"/>
      <c r="C27" s="430">
        <v>45415</v>
      </c>
      <c r="D27" s="679">
        <v>90</v>
      </c>
      <c r="E27" s="778">
        <v>45505</v>
      </c>
      <c r="F27" s="431">
        <v>52000</v>
      </c>
      <c r="G27" s="680">
        <v>14471600</v>
      </c>
      <c r="H27" s="758">
        <v>278.3</v>
      </c>
      <c r="I27" s="681">
        <v>90</v>
      </c>
      <c r="J27" s="678"/>
      <c r="K27" s="678"/>
      <c r="L27" s="683">
        <v>8131.8497534246571</v>
      </c>
      <c r="M27" s="683">
        <v>731866.47780821915</v>
      </c>
      <c r="N27" s="683">
        <v>731866.47780821915</v>
      </c>
      <c r="O27" s="683">
        <v>-0.89999999999997726</v>
      </c>
      <c r="P27" s="683">
        <v>-46799.999999998821</v>
      </c>
      <c r="Q27" s="683">
        <v>685066.47780822031</v>
      </c>
      <c r="R27" s="646">
        <v>279.2</v>
      </c>
      <c r="S27" s="420" t="s">
        <v>339</v>
      </c>
    </row>
    <row r="28" spans="1:19" hidden="1" x14ac:dyDescent="0.3">
      <c r="A28" s="677" t="s">
        <v>207</v>
      </c>
      <c r="B28" s="677"/>
      <c r="C28" s="430">
        <v>45407</v>
      </c>
      <c r="D28" s="679">
        <v>60</v>
      </c>
      <c r="E28" s="430">
        <v>45467</v>
      </c>
      <c r="F28" s="431">
        <v>108500</v>
      </c>
      <c r="G28" s="680">
        <v>30249800</v>
      </c>
      <c r="H28" s="758">
        <v>278.8</v>
      </c>
      <c r="I28" s="681">
        <v>60</v>
      </c>
      <c r="J28" s="678"/>
      <c r="K28" s="678"/>
      <c r="L28" s="683">
        <v>17287.967890410961</v>
      </c>
      <c r="M28" s="683">
        <v>1037278.0734246576</v>
      </c>
      <c r="N28" s="683">
        <v>1037278.0734246576</v>
      </c>
      <c r="O28" s="683">
        <v>-0.19999999999998863</v>
      </c>
      <c r="P28" s="683">
        <v>-21699.999999998767</v>
      </c>
      <c r="Q28" s="683">
        <v>1015578.0734246589</v>
      </c>
      <c r="R28" s="646">
        <v>279</v>
      </c>
      <c r="S28" s="420" t="s">
        <v>339</v>
      </c>
    </row>
    <row r="29" spans="1:19" hidden="1" x14ac:dyDescent="0.3">
      <c r="A29" s="677" t="s">
        <v>68</v>
      </c>
      <c r="B29" s="677"/>
      <c r="C29" s="430">
        <v>45440</v>
      </c>
      <c r="D29" s="679">
        <v>90</v>
      </c>
      <c r="E29" s="778">
        <v>45530</v>
      </c>
      <c r="F29" s="431">
        <v>16320</v>
      </c>
      <c r="G29" s="680">
        <v>4540224</v>
      </c>
      <c r="H29" s="758">
        <v>278.2</v>
      </c>
      <c r="I29" s="681">
        <v>90</v>
      </c>
      <c r="J29" s="678"/>
      <c r="K29" s="678"/>
      <c r="L29" s="683">
        <v>2354.6969950684929</v>
      </c>
      <c r="M29" s="683">
        <v>211922.72955616436</v>
      </c>
      <c r="N29" s="683">
        <v>211922.72955616436</v>
      </c>
      <c r="O29" s="683">
        <v>-0.94999999999998863</v>
      </c>
      <c r="P29" s="683">
        <v>-15503.999999999814</v>
      </c>
      <c r="Q29" s="683">
        <v>196418.72955616453</v>
      </c>
      <c r="R29" s="646">
        <v>279.14999999999998</v>
      </c>
      <c r="S29" s="420" t="s">
        <v>339</v>
      </c>
    </row>
    <row r="30" spans="1:19" hidden="1" x14ac:dyDescent="0.3">
      <c r="A30" s="677" t="s">
        <v>67</v>
      </c>
      <c r="B30" s="677"/>
      <c r="C30" s="430">
        <v>45423</v>
      </c>
      <c r="D30" s="679">
        <v>60</v>
      </c>
      <c r="E30" s="778">
        <v>45483</v>
      </c>
      <c r="F30" s="431">
        <v>201000</v>
      </c>
      <c r="G30" s="680">
        <v>55918200</v>
      </c>
      <c r="H30" s="758">
        <v>278.2</v>
      </c>
      <c r="I30" s="681">
        <v>60</v>
      </c>
      <c r="J30" s="678"/>
      <c r="K30" s="678"/>
      <c r="L30" s="683">
        <v>31528.672767123287</v>
      </c>
      <c r="M30" s="683">
        <v>1891720.3660273973</v>
      </c>
      <c r="N30" s="683">
        <v>1891720.3660273973</v>
      </c>
      <c r="O30" s="683">
        <v>-1.1999999999999886</v>
      </c>
      <c r="P30" s="683">
        <v>-241199.9999999977</v>
      </c>
      <c r="Q30" s="683">
        <v>1650520.3660273997</v>
      </c>
      <c r="R30" s="646">
        <v>279.39999999999998</v>
      </c>
      <c r="S30" s="420" t="s">
        <v>339</v>
      </c>
    </row>
    <row r="31" spans="1:19" hidden="1" x14ac:dyDescent="0.3">
      <c r="A31" s="677" t="s">
        <v>327</v>
      </c>
      <c r="B31" s="677"/>
      <c r="C31" s="430">
        <v>45420</v>
      </c>
      <c r="D31" s="679">
        <v>90</v>
      </c>
      <c r="E31" s="778">
        <v>45510</v>
      </c>
      <c r="F31" s="431">
        <v>43800</v>
      </c>
      <c r="G31" s="680">
        <v>12180780.000000002</v>
      </c>
      <c r="H31" s="758">
        <v>278.10000000000002</v>
      </c>
      <c r="I31" s="681">
        <v>90</v>
      </c>
      <c r="J31" s="678"/>
      <c r="K31" s="678"/>
      <c r="L31" s="683">
        <v>6991.4340000000011</v>
      </c>
      <c r="M31" s="683">
        <v>629229.06000000006</v>
      </c>
      <c r="N31" s="683">
        <v>629229.06000000006</v>
      </c>
      <c r="O31" s="683">
        <v>-1.5</v>
      </c>
      <c r="P31" s="683">
        <v>-65700</v>
      </c>
      <c r="Q31" s="683">
        <v>563529.06000000006</v>
      </c>
      <c r="R31" s="646">
        <v>279.60000000000002</v>
      </c>
      <c r="S31" s="420" t="s">
        <v>339</v>
      </c>
    </row>
    <row r="32" spans="1:19" hidden="1" x14ac:dyDescent="0.3">
      <c r="A32" s="677" t="s">
        <v>327</v>
      </c>
      <c r="B32" s="677"/>
      <c r="C32" s="430">
        <v>45442</v>
      </c>
      <c r="D32" s="679">
        <v>90</v>
      </c>
      <c r="E32" s="778">
        <v>45532</v>
      </c>
      <c r="F32" s="431">
        <v>55200</v>
      </c>
      <c r="G32" s="680">
        <v>15367679.999999998</v>
      </c>
      <c r="H32" s="758">
        <v>278.39999999999998</v>
      </c>
      <c r="I32" s="681">
        <v>90</v>
      </c>
      <c r="J32" s="678"/>
      <c r="K32" s="678"/>
      <c r="L32" s="683">
        <v>8715.3692054794501</v>
      </c>
      <c r="M32" s="683">
        <v>784383.22849315056</v>
      </c>
      <c r="N32" s="683">
        <v>784383.22849315056</v>
      </c>
      <c r="O32" s="683">
        <v>-0.95000000000004547</v>
      </c>
      <c r="P32" s="683">
        <v>-52440.00000000251</v>
      </c>
      <c r="Q32" s="683">
        <v>731943.228493148</v>
      </c>
      <c r="R32" s="646">
        <v>279.35000000000002</v>
      </c>
      <c r="S32" s="420" t="s">
        <v>339</v>
      </c>
    </row>
    <row r="33" spans="1:19" hidden="1" x14ac:dyDescent="0.3">
      <c r="A33" s="677" t="s">
        <v>91</v>
      </c>
      <c r="B33" s="677"/>
      <c r="C33" s="430">
        <v>45456</v>
      </c>
      <c r="D33" s="679">
        <v>60</v>
      </c>
      <c r="E33" s="778">
        <v>45516</v>
      </c>
      <c r="F33" s="431">
        <v>70000</v>
      </c>
      <c r="G33" s="680">
        <v>19523000</v>
      </c>
      <c r="H33" s="758">
        <v>278.89999999999998</v>
      </c>
      <c r="I33" s="681">
        <v>60</v>
      </c>
      <c r="J33" s="678"/>
      <c r="K33" s="678"/>
      <c r="L33" s="646">
        <v>10462.188493150685</v>
      </c>
      <c r="M33" s="646">
        <v>627731.30958904105</v>
      </c>
      <c r="N33" s="646">
        <v>627731.30958904105</v>
      </c>
      <c r="O33" s="646">
        <v>-0.35000000000002274</v>
      </c>
      <c r="P33" s="646">
        <v>-24500.000000001593</v>
      </c>
      <c r="Q33" s="646">
        <v>603231.30958903942</v>
      </c>
      <c r="R33" s="646">
        <v>279.25</v>
      </c>
      <c r="S33" s="420" t="s">
        <v>339</v>
      </c>
    </row>
    <row r="34" spans="1:19" hidden="1" x14ac:dyDescent="0.3">
      <c r="A34" s="677" t="s">
        <v>91</v>
      </c>
      <c r="B34" s="677"/>
      <c r="C34" s="430">
        <v>45422</v>
      </c>
      <c r="D34" s="679">
        <v>60</v>
      </c>
      <c r="E34" s="778">
        <v>45482</v>
      </c>
      <c r="F34" s="431">
        <v>111300</v>
      </c>
      <c r="G34" s="680">
        <v>31041569.999999996</v>
      </c>
      <c r="H34" s="758">
        <v>278.89999999999998</v>
      </c>
      <c r="I34" s="681">
        <v>60</v>
      </c>
      <c r="J34" s="678"/>
      <c r="K34" s="678"/>
      <c r="L34" s="646">
        <v>17595.892693150683</v>
      </c>
      <c r="M34" s="646">
        <v>1055753.561589041</v>
      </c>
      <c r="N34" s="646">
        <v>1055753.561589041</v>
      </c>
      <c r="O34" s="646">
        <v>-0.5</v>
      </c>
      <c r="P34" s="646">
        <v>-55650</v>
      </c>
      <c r="Q34" s="646">
        <v>1000103.561589041</v>
      </c>
      <c r="R34" s="646">
        <v>279.39999999999998</v>
      </c>
      <c r="S34" s="420" t="s">
        <v>339</v>
      </c>
    </row>
    <row r="35" spans="1:19" hidden="1" x14ac:dyDescent="0.3">
      <c r="A35" s="677" t="s">
        <v>91</v>
      </c>
      <c r="B35" s="677"/>
      <c r="C35" s="430">
        <v>45459</v>
      </c>
      <c r="D35" s="679">
        <v>60</v>
      </c>
      <c r="E35" s="778">
        <v>45519</v>
      </c>
      <c r="F35" s="431">
        <v>79562.5</v>
      </c>
      <c r="G35" s="680">
        <v>22189981.25</v>
      </c>
      <c r="H35" s="758">
        <v>278.89999999999998</v>
      </c>
      <c r="I35" s="681">
        <v>60</v>
      </c>
      <c r="J35" s="678"/>
      <c r="K35" s="678"/>
      <c r="L35" s="646">
        <v>11879.239277397261</v>
      </c>
      <c r="M35" s="646">
        <v>712754.35664383566</v>
      </c>
      <c r="N35" s="646">
        <v>712754.35664383566</v>
      </c>
      <c r="O35" s="646">
        <v>-0.55000000000001137</v>
      </c>
      <c r="P35" s="646">
        <v>-43759.375000000902</v>
      </c>
      <c r="Q35" s="646">
        <v>668994.98164383473</v>
      </c>
      <c r="R35" s="646">
        <v>279.45</v>
      </c>
      <c r="S35" s="420" t="s">
        <v>339</v>
      </c>
    </row>
    <row r="36" spans="1:19" hidden="1" x14ac:dyDescent="0.3">
      <c r="A36" s="677" t="s">
        <v>327</v>
      </c>
      <c r="B36" s="677"/>
      <c r="C36" s="430">
        <v>45456</v>
      </c>
      <c r="D36" s="679">
        <v>60</v>
      </c>
      <c r="E36" s="778">
        <v>45516</v>
      </c>
      <c r="F36" s="431">
        <v>94500</v>
      </c>
      <c r="G36" s="680">
        <v>26365500</v>
      </c>
      <c r="H36" s="758">
        <v>279</v>
      </c>
      <c r="I36" s="681">
        <v>60</v>
      </c>
      <c r="J36" s="678"/>
      <c r="K36" s="678"/>
      <c r="L36" s="646">
        <v>15089.734109589041</v>
      </c>
      <c r="M36" s="646">
        <v>905384.04657534242</v>
      </c>
      <c r="N36" s="646">
        <v>905384.04657534242</v>
      </c>
      <c r="O36" s="646">
        <v>-0.57999999999998408</v>
      </c>
      <c r="P36" s="646">
        <v>-54809.999999998494</v>
      </c>
      <c r="Q36" s="646">
        <v>850574.04657534393</v>
      </c>
      <c r="R36" s="646">
        <v>279.58</v>
      </c>
      <c r="S36" s="420" t="s">
        <v>339</v>
      </c>
    </row>
    <row r="37" spans="1:19" hidden="1" x14ac:dyDescent="0.3">
      <c r="A37" s="677" t="s">
        <v>327</v>
      </c>
      <c r="B37" s="677"/>
      <c r="C37" s="430">
        <v>45456</v>
      </c>
      <c r="D37" s="679">
        <v>60</v>
      </c>
      <c r="E37" s="778">
        <v>45516</v>
      </c>
      <c r="F37" s="431">
        <v>141750</v>
      </c>
      <c r="G37" s="680">
        <v>39548250</v>
      </c>
      <c r="H37" s="758">
        <v>279</v>
      </c>
      <c r="I37" s="681">
        <v>60</v>
      </c>
      <c r="J37" s="678"/>
      <c r="K37" s="678"/>
      <c r="L37" s="646">
        <v>22634.601164383563</v>
      </c>
      <c r="M37" s="646">
        <v>1358076.0698630137</v>
      </c>
      <c r="N37" s="646">
        <v>1358076.0698630137</v>
      </c>
      <c r="O37" s="646">
        <v>0.42000000000001592</v>
      </c>
      <c r="P37" s="646">
        <v>59535.000000002256</v>
      </c>
      <c r="Q37" s="646">
        <v>1417611.069863016</v>
      </c>
      <c r="R37" s="646">
        <v>278.58</v>
      </c>
      <c r="S37" s="420" t="s">
        <v>339</v>
      </c>
    </row>
    <row r="38" spans="1:19" hidden="1" x14ac:dyDescent="0.3">
      <c r="A38" s="677" t="s">
        <v>205</v>
      </c>
      <c r="B38" s="677"/>
      <c r="C38" s="430">
        <v>45456</v>
      </c>
      <c r="D38" s="679">
        <v>60</v>
      </c>
      <c r="E38" s="778">
        <v>45516</v>
      </c>
      <c r="F38" s="431">
        <v>144580.79999999999</v>
      </c>
      <c r="G38" s="680">
        <v>40338043.199999996</v>
      </c>
      <c r="H38" s="758">
        <v>279</v>
      </c>
      <c r="I38" s="681">
        <v>60</v>
      </c>
      <c r="J38" s="678"/>
      <c r="K38" s="678"/>
      <c r="L38" s="684">
        <v>22810.334565698628</v>
      </c>
      <c r="M38" s="684">
        <v>1368620.0739419176</v>
      </c>
      <c r="N38" s="684">
        <v>1368620.0739419176</v>
      </c>
      <c r="O38" s="684">
        <v>-0.44999999999998863</v>
      </c>
      <c r="P38" s="684">
        <v>-65061.359999998349</v>
      </c>
      <c r="Q38" s="684">
        <v>1303558.7139419194</v>
      </c>
      <c r="R38" s="684">
        <v>279.45</v>
      </c>
      <c r="S38" s="420" t="s">
        <v>339</v>
      </c>
    </row>
    <row r="39" spans="1:19" hidden="1" x14ac:dyDescent="0.3">
      <c r="A39" s="677" t="s">
        <v>205</v>
      </c>
      <c r="B39" s="677"/>
      <c r="C39" s="430">
        <v>45456</v>
      </c>
      <c r="D39" s="679">
        <v>60</v>
      </c>
      <c r="E39" s="778">
        <v>45516</v>
      </c>
      <c r="F39" s="431">
        <v>140000</v>
      </c>
      <c r="G39" s="680">
        <v>39060000</v>
      </c>
      <c r="H39" s="758">
        <v>279</v>
      </c>
      <c r="I39" s="681">
        <v>60</v>
      </c>
      <c r="J39" s="678"/>
      <c r="K39" s="678"/>
      <c r="L39" s="684">
        <v>22087.627397260276</v>
      </c>
      <c r="M39" s="684">
        <v>1325257.6438356165</v>
      </c>
      <c r="N39" s="684">
        <v>1325257.6438356165</v>
      </c>
      <c r="O39" s="684">
        <v>-0.44999999999998863</v>
      </c>
      <c r="P39" s="684">
        <v>-62999.999999998407</v>
      </c>
      <c r="Q39" s="684">
        <v>1262257.6438356182</v>
      </c>
      <c r="R39" s="684">
        <v>279.45</v>
      </c>
      <c r="S39" s="420" t="s">
        <v>339</v>
      </c>
    </row>
    <row r="40" spans="1:19" hidden="1" x14ac:dyDescent="0.3">
      <c r="A40" s="677" t="s">
        <v>67</v>
      </c>
      <c r="B40" s="677"/>
      <c r="C40" s="430">
        <v>45456</v>
      </c>
      <c r="D40" s="679">
        <v>60</v>
      </c>
      <c r="E40" s="778">
        <v>45516</v>
      </c>
      <c r="F40" s="431">
        <v>108400</v>
      </c>
      <c r="G40" s="680">
        <v>30232759.999999996</v>
      </c>
      <c r="H40" s="758">
        <v>278.89999999999998</v>
      </c>
      <c r="I40" s="681">
        <v>60</v>
      </c>
      <c r="J40" s="678"/>
      <c r="K40" s="678"/>
      <c r="L40" s="683">
        <v>15977.806586301365</v>
      </c>
      <c r="M40" s="683">
        <v>958668.39517808193</v>
      </c>
      <c r="N40" s="683">
        <v>958668.39517808193</v>
      </c>
      <c r="O40" s="683">
        <v>-0.55000000000001137</v>
      </c>
      <c r="P40" s="683">
        <v>-59620.00000000123</v>
      </c>
      <c r="Q40" s="683">
        <v>899048.39517808065</v>
      </c>
      <c r="R40" s="646">
        <v>279.45</v>
      </c>
      <c r="S40" s="420" t="s">
        <v>339</v>
      </c>
    </row>
    <row r="41" spans="1:19" hidden="1" x14ac:dyDescent="0.3">
      <c r="A41" s="677" t="s">
        <v>67</v>
      </c>
      <c r="B41" s="677"/>
      <c r="C41" s="430">
        <v>45456</v>
      </c>
      <c r="D41" s="679">
        <v>60</v>
      </c>
      <c r="E41" s="778">
        <v>45516</v>
      </c>
      <c r="F41" s="431">
        <v>108400</v>
      </c>
      <c r="G41" s="680">
        <v>30232759.999999996</v>
      </c>
      <c r="H41" s="758">
        <v>278.89999999999998</v>
      </c>
      <c r="I41" s="681">
        <v>60</v>
      </c>
      <c r="J41" s="678"/>
      <c r="K41" s="678"/>
      <c r="L41" s="683">
        <v>15977.806586301365</v>
      </c>
      <c r="M41" s="683">
        <v>958668.39517808193</v>
      </c>
      <c r="N41" s="683">
        <v>958668.39517808193</v>
      </c>
      <c r="O41" s="683">
        <v>-0.55000000000001137</v>
      </c>
      <c r="P41" s="683">
        <v>-59620.00000000123</v>
      </c>
      <c r="Q41" s="683">
        <v>899048.39517808065</v>
      </c>
      <c r="R41" s="646">
        <v>279.45</v>
      </c>
      <c r="S41" s="420" t="s">
        <v>339</v>
      </c>
    </row>
    <row r="42" spans="1:19" hidden="1" x14ac:dyDescent="0.3">
      <c r="A42" s="677" t="s">
        <v>67</v>
      </c>
      <c r="B42" s="677"/>
      <c r="C42" s="430">
        <v>45459</v>
      </c>
      <c r="D42" s="679">
        <v>60</v>
      </c>
      <c r="E42" s="778">
        <v>45519</v>
      </c>
      <c r="F42" s="431">
        <v>79562.3</v>
      </c>
      <c r="G42" s="680">
        <v>22197881.699999999</v>
      </c>
      <c r="H42" s="758">
        <v>279</v>
      </c>
      <c r="I42" s="681">
        <v>60</v>
      </c>
      <c r="J42" s="678"/>
      <c r="K42" s="678"/>
      <c r="L42" s="646">
        <v>11688.85715819178</v>
      </c>
      <c r="M42" s="646">
        <v>701331.42949150677</v>
      </c>
      <c r="N42" s="646">
        <v>701331.42949150677</v>
      </c>
      <c r="O42" s="646">
        <v>-0.39999999999997726</v>
      </c>
      <c r="P42" s="646">
        <v>-31824.919999998194</v>
      </c>
      <c r="Q42" s="646">
        <v>669506.50949150859</v>
      </c>
      <c r="R42" s="646">
        <v>279.39999999999998</v>
      </c>
      <c r="S42" s="420" t="s">
        <v>339</v>
      </c>
    </row>
    <row r="43" spans="1:19" hidden="1" x14ac:dyDescent="0.3">
      <c r="A43" s="677" t="s">
        <v>207</v>
      </c>
      <c r="B43" s="677"/>
      <c r="C43" s="430">
        <v>45448</v>
      </c>
      <c r="D43" s="679">
        <v>90</v>
      </c>
      <c r="E43" s="778">
        <v>45538</v>
      </c>
      <c r="F43" s="431">
        <v>22080</v>
      </c>
      <c r="G43" s="680">
        <v>6150384</v>
      </c>
      <c r="H43" s="758">
        <v>278.55</v>
      </c>
      <c r="I43" s="681">
        <v>90</v>
      </c>
      <c r="J43" s="678"/>
      <c r="K43" s="678"/>
      <c r="L43" s="646">
        <v>3140.908431780822</v>
      </c>
      <c r="M43" s="646">
        <v>282681.75886027399</v>
      </c>
      <c r="N43" s="646">
        <v>282681.75886027399</v>
      </c>
      <c r="O43" s="646">
        <v>-0.89999999999997726</v>
      </c>
      <c r="P43" s="646">
        <v>-19871.999999999498</v>
      </c>
      <c r="Q43" s="646">
        <v>262809.75886027451</v>
      </c>
      <c r="R43" s="646">
        <v>279.45</v>
      </c>
      <c r="S43" s="420" t="s">
        <v>339</v>
      </c>
    </row>
    <row r="44" spans="1:19" hidden="1" x14ac:dyDescent="0.3">
      <c r="A44" s="677" t="s">
        <v>207</v>
      </c>
      <c r="B44" s="677"/>
      <c r="C44" s="430">
        <v>45450</v>
      </c>
      <c r="D44" s="679">
        <v>90</v>
      </c>
      <c r="E44" s="778">
        <v>45540</v>
      </c>
      <c r="F44" s="431">
        <v>34100</v>
      </c>
      <c r="G44" s="680">
        <v>9501965</v>
      </c>
      <c r="H44" s="758">
        <v>278.64999999999998</v>
      </c>
      <c r="I44" s="681">
        <v>90</v>
      </c>
      <c r="J44" s="678"/>
      <c r="K44" s="678"/>
      <c r="L44" s="646">
        <v>4839.4939547945205</v>
      </c>
      <c r="M44" s="646">
        <v>435554.45593150682</v>
      </c>
      <c r="N44" s="646">
        <v>435554.45593150682</v>
      </c>
      <c r="O44" s="646">
        <v>-0.60000000000002274</v>
      </c>
      <c r="P44" s="646">
        <v>-20460.000000000775</v>
      </c>
      <c r="Q44" s="646">
        <v>415094.45593150606</v>
      </c>
      <c r="R44" s="646">
        <v>279.25</v>
      </c>
      <c r="S44" s="420" t="s">
        <v>339</v>
      </c>
    </row>
    <row r="45" spans="1:19" hidden="1" x14ac:dyDescent="0.3">
      <c r="A45" s="677" t="s">
        <v>207</v>
      </c>
      <c r="B45" s="677"/>
      <c r="C45" s="430">
        <v>45450</v>
      </c>
      <c r="D45" s="679">
        <v>90</v>
      </c>
      <c r="E45" s="778">
        <v>45540</v>
      </c>
      <c r="F45" s="431">
        <v>52000</v>
      </c>
      <c r="G45" s="680">
        <v>14489799.999999998</v>
      </c>
      <c r="H45" s="758">
        <v>278.64999999999998</v>
      </c>
      <c r="I45" s="681">
        <v>90</v>
      </c>
      <c r="J45" s="678"/>
      <c r="K45" s="678"/>
      <c r="L45" s="683">
        <v>7379.8734794520533</v>
      </c>
      <c r="M45" s="683">
        <v>664188.61315068475</v>
      </c>
      <c r="N45" s="683">
        <v>664188.61315068475</v>
      </c>
      <c r="O45" s="683">
        <v>-0.60000000000002274</v>
      </c>
      <c r="P45" s="683">
        <v>-31200.000000001182</v>
      </c>
      <c r="Q45" s="683">
        <v>632988.61315068358</v>
      </c>
      <c r="R45" s="646">
        <v>279.25</v>
      </c>
      <c r="S45" s="420" t="s">
        <v>339</v>
      </c>
    </row>
    <row r="46" spans="1:19" hidden="1" x14ac:dyDescent="0.3">
      <c r="A46" s="677" t="s">
        <v>68</v>
      </c>
      <c r="B46" s="677"/>
      <c r="C46" s="430">
        <v>45454</v>
      </c>
      <c r="D46" s="679">
        <v>90</v>
      </c>
      <c r="E46" s="778">
        <v>45544</v>
      </c>
      <c r="F46" s="431">
        <v>486000</v>
      </c>
      <c r="G46" s="680">
        <v>18813060</v>
      </c>
      <c r="H46" s="758">
        <v>38.71</v>
      </c>
      <c r="I46" s="681">
        <v>90</v>
      </c>
      <c r="J46" s="678"/>
      <c r="K46" s="678"/>
      <c r="L46" s="646">
        <v>9720.9400438356151</v>
      </c>
      <c r="M46" s="646">
        <v>874884.60394520534</v>
      </c>
      <c r="N46" s="646">
        <v>874884.60394520534</v>
      </c>
      <c r="O46" s="646">
        <v>-1.0899999999999963</v>
      </c>
      <c r="P46" s="646">
        <v>-529739.99999999825</v>
      </c>
      <c r="Q46" s="646">
        <v>345144.60394520708</v>
      </c>
      <c r="R46" s="646">
        <v>39.799999999999997</v>
      </c>
      <c r="S46" s="420" t="s">
        <v>339</v>
      </c>
    </row>
    <row r="47" spans="1:19" hidden="1" x14ac:dyDescent="0.3">
      <c r="A47" s="677" t="s">
        <v>338</v>
      </c>
      <c r="B47" s="677"/>
      <c r="C47" s="430">
        <v>45479</v>
      </c>
      <c r="D47" s="679">
        <v>60</v>
      </c>
      <c r="E47" s="778">
        <v>45539</v>
      </c>
      <c r="F47" s="431">
        <v>172955.02</v>
      </c>
      <c r="G47" s="680">
        <v>48237155.077999994</v>
      </c>
      <c r="H47" s="758">
        <v>278.89999999999998</v>
      </c>
      <c r="I47" s="681">
        <v>60</v>
      </c>
      <c r="J47" s="678"/>
      <c r="K47" s="678"/>
      <c r="L47" s="683">
        <v>24541.478624615338</v>
      </c>
      <c r="M47" s="683">
        <v>1472488.7174769202</v>
      </c>
      <c r="N47" s="683">
        <v>1472488.7174769202</v>
      </c>
      <c r="O47" s="683">
        <v>-0.25</v>
      </c>
      <c r="P47" s="683">
        <v>-43238.754999999997</v>
      </c>
      <c r="Q47" s="683">
        <v>1429249.9624769203</v>
      </c>
      <c r="R47" s="646">
        <v>279.14999999999998</v>
      </c>
      <c r="S47" s="420" t="s">
        <v>339</v>
      </c>
    </row>
    <row r="48" spans="1:19" hidden="1" x14ac:dyDescent="0.3">
      <c r="A48" s="677" t="s">
        <v>338</v>
      </c>
      <c r="B48" s="677"/>
      <c r="C48" s="430">
        <v>45479</v>
      </c>
      <c r="D48" s="679">
        <v>60</v>
      </c>
      <c r="E48" s="778">
        <v>45539</v>
      </c>
      <c r="F48" s="431">
        <v>172955.02</v>
      </c>
      <c r="G48" s="680">
        <v>48237155.077999994</v>
      </c>
      <c r="H48" s="758">
        <v>278.89999999999998</v>
      </c>
      <c r="I48" s="681">
        <v>60</v>
      </c>
      <c r="J48" s="678"/>
      <c r="K48" s="678"/>
      <c r="L48" s="683">
        <v>24541.478624615338</v>
      </c>
      <c r="M48" s="683">
        <v>1472488.7174769202</v>
      </c>
      <c r="N48" s="683">
        <v>1472488.7174769202</v>
      </c>
      <c r="O48" s="683">
        <v>-0.25</v>
      </c>
      <c r="P48" s="683">
        <v>-43238.754999999997</v>
      </c>
      <c r="Q48" s="683">
        <v>1429249.9624769203</v>
      </c>
      <c r="R48" s="646">
        <v>279.14999999999998</v>
      </c>
      <c r="S48" s="420" t="s">
        <v>339</v>
      </c>
    </row>
    <row r="49" spans="1:19" hidden="1" x14ac:dyDescent="0.3">
      <c r="A49" s="685" t="s">
        <v>341</v>
      </c>
      <c r="B49" s="677"/>
      <c r="C49" s="430">
        <f>+E49-D49</f>
        <v>45197</v>
      </c>
      <c r="D49" s="685">
        <v>60</v>
      </c>
      <c r="E49" s="430">
        <v>45257</v>
      </c>
      <c r="F49" s="686">
        <v>127709.85</v>
      </c>
      <c r="G49" s="646">
        <f>F49*H49</f>
        <v>36920917.635000005</v>
      </c>
      <c r="H49" s="758">
        <v>289.10000000000002</v>
      </c>
      <c r="I49" s="681">
        <v>60</v>
      </c>
      <c r="J49" s="678"/>
      <c r="K49" s="678"/>
      <c r="L49" s="683">
        <v>22850.507654100002</v>
      </c>
      <c r="M49" s="683">
        <v>1371030.459246</v>
      </c>
      <c r="N49" s="683">
        <v>1371030.459246</v>
      </c>
      <c r="O49" s="683">
        <v>2.3500000000000227</v>
      </c>
      <c r="P49" s="683">
        <v>300118.14750000293</v>
      </c>
      <c r="Q49" s="683">
        <v>1671148.606746003</v>
      </c>
      <c r="R49" s="646">
        <v>286.75</v>
      </c>
      <c r="S49" s="420" t="s">
        <v>339</v>
      </c>
    </row>
    <row r="50" spans="1:19" hidden="1" x14ac:dyDescent="0.3">
      <c r="A50" s="677" t="s">
        <v>66</v>
      </c>
      <c r="B50" s="677"/>
      <c r="C50" s="430">
        <v>45450</v>
      </c>
      <c r="D50" s="679">
        <v>90</v>
      </c>
      <c r="E50" s="778">
        <v>45540</v>
      </c>
      <c r="F50" s="431">
        <v>419000</v>
      </c>
      <c r="G50" s="680">
        <v>16240440</v>
      </c>
      <c r="H50" s="758">
        <v>38.76</v>
      </c>
      <c r="I50" s="681">
        <v>90</v>
      </c>
      <c r="J50" s="678"/>
      <c r="K50" s="678"/>
      <c r="L50" s="646">
        <v>8391.6355726027396</v>
      </c>
      <c r="M50" s="646">
        <v>755247.20153424656</v>
      </c>
      <c r="N50" s="646">
        <v>755247.20153424656</v>
      </c>
      <c r="O50" s="646">
        <v>-0.64000000000000057</v>
      </c>
      <c r="P50" s="646">
        <v>-268160.00000000023</v>
      </c>
      <c r="Q50" s="646">
        <v>487087.20153424633</v>
      </c>
      <c r="R50" s="646">
        <v>39.4</v>
      </c>
      <c r="S50" s="420" t="s">
        <v>339</v>
      </c>
    </row>
    <row r="51" spans="1:19" s="616" customFormat="1" hidden="1" x14ac:dyDescent="0.3">
      <c r="A51" s="744" t="s">
        <v>205</v>
      </c>
      <c r="B51" s="614"/>
      <c r="C51" s="721">
        <f>+E51-D51</f>
        <v>45506</v>
      </c>
      <c r="D51" s="614">
        <v>90</v>
      </c>
      <c r="E51" s="753">
        <v>45596</v>
      </c>
      <c r="F51" s="692">
        <v>101130.2</v>
      </c>
      <c r="G51" s="693">
        <f>F51*H51</f>
        <v>28220382.309999999</v>
      </c>
      <c r="H51" s="759">
        <v>279.05</v>
      </c>
      <c r="I51" s="614">
        <v>90</v>
      </c>
      <c r="J51" s="694"/>
      <c r="K51" s="694"/>
      <c r="L51" s="615">
        <v>10120.679573641097</v>
      </c>
      <c r="M51" s="615">
        <f>L51*I51</f>
        <v>910861.16162769869</v>
      </c>
      <c r="N51" s="615">
        <f>M51-K51</f>
        <v>910861.16162769869</v>
      </c>
      <c r="O51" s="615">
        <f>H51-R51</f>
        <v>0.55000000000001137</v>
      </c>
      <c r="P51" s="615">
        <f>O51*F51</f>
        <v>55621.61000000115</v>
      </c>
      <c r="Q51" s="615">
        <f>N51+P51</f>
        <v>966482.77162769984</v>
      </c>
      <c r="R51" s="749">
        <v>278.5</v>
      </c>
      <c r="S51" s="709" t="s">
        <v>340</v>
      </c>
    </row>
    <row r="52" spans="1:19" hidden="1" x14ac:dyDescent="0.3">
      <c r="A52" s="677" t="s">
        <v>207</v>
      </c>
      <c r="B52" s="677"/>
      <c r="C52" s="430">
        <v>45452</v>
      </c>
      <c r="D52" s="679">
        <v>90</v>
      </c>
      <c r="E52" s="778">
        <v>45544</v>
      </c>
      <c r="F52" s="431">
        <v>72600</v>
      </c>
      <c r="G52" s="680">
        <v>20229990</v>
      </c>
      <c r="H52" s="758">
        <v>278.64999999999998</v>
      </c>
      <c r="I52" s="681">
        <v>90</v>
      </c>
      <c r="J52" s="678"/>
      <c r="K52" s="678"/>
      <c r="L52" s="683">
        <v>10259.099038356166</v>
      </c>
      <c r="M52" s="683">
        <v>923318.91345205496</v>
      </c>
      <c r="N52" s="683">
        <v>923318.91345205496</v>
      </c>
      <c r="O52" s="683">
        <v>-0.65000000000003411</v>
      </c>
      <c r="P52" s="683">
        <v>-47190.000000002474</v>
      </c>
      <c r="Q52" s="683">
        <v>876128.91345205251</v>
      </c>
      <c r="R52" s="646">
        <v>279.3</v>
      </c>
      <c r="S52" s="420" t="s">
        <v>339</v>
      </c>
    </row>
    <row r="53" spans="1:19" s="616" customFormat="1" hidden="1" x14ac:dyDescent="0.3">
      <c r="A53" s="744" t="s">
        <v>327</v>
      </c>
      <c r="B53" s="614"/>
      <c r="C53" s="721">
        <v>45529</v>
      </c>
      <c r="D53" s="614">
        <v>60</v>
      </c>
      <c r="E53" s="753">
        <f>+C53+D53</f>
        <v>45589</v>
      </c>
      <c r="F53" s="692">
        <v>45914.7</v>
      </c>
      <c r="G53" s="692">
        <f t="shared" ref="G53:G64" si="0">F53*H53</f>
        <v>12782652.479999999</v>
      </c>
      <c r="H53" s="760">
        <v>278.39999999999998</v>
      </c>
      <c r="I53" s="614">
        <v>60</v>
      </c>
      <c r="J53" s="694"/>
      <c r="K53" s="694"/>
      <c r="L53" s="693">
        <v>4671.7968241972594</v>
      </c>
      <c r="M53" s="693">
        <f t="shared" ref="M53:M64" si="1">L53*I53</f>
        <v>280307.80945183558</v>
      </c>
      <c r="N53" s="693">
        <f t="shared" ref="N53:N64" si="2">M53-K53</f>
        <v>280307.80945183558</v>
      </c>
      <c r="O53" s="693">
        <f t="shared" ref="O53:O64" si="3">H53-R53</f>
        <v>-0.35000000000002274</v>
      </c>
      <c r="P53" s="693">
        <f t="shared" ref="P53:P64" si="4">O53*F53</f>
        <v>-16070.145000001043</v>
      </c>
      <c r="Q53" s="693">
        <f t="shared" ref="Q53:Q64" si="5">N53+P53</f>
        <v>264237.66445183451</v>
      </c>
      <c r="R53" s="749">
        <v>278.75</v>
      </c>
      <c r="S53" s="709" t="s">
        <v>340</v>
      </c>
    </row>
    <row r="54" spans="1:19" s="616" customFormat="1" hidden="1" x14ac:dyDescent="0.3">
      <c r="A54" s="744" t="s">
        <v>66</v>
      </c>
      <c r="B54" s="614"/>
      <c r="C54" s="721">
        <v>45496</v>
      </c>
      <c r="D54" s="614">
        <v>90</v>
      </c>
      <c r="E54" s="753">
        <v>45586</v>
      </c>
      <c r="F54" s="692">
        <v>103600</v>
      </c>
      <c r="G54" s="693">
        <f t="shared" si="0"/>
        <v>28873320</v>
      </c>
      <c r="H54" s="759">
        <v>278.7</v>
      </c>
      <c r="I54" s="614">
        <v>90</v>
      </c>
      <c r="J54" s="694"/>
      <c r="K54" s="694"/>
      <c r="L54" s="615">
        <v>10196.632734246576</v>
      </c>
      <c r="M54" s="615">
        <f t="shared" si="1"/>
        <v>917696.94608219177</v>
      </c>
      <c r="N54" s="615">
        <f t="shared" si="2"/>
        <v>917696.94608219177</v>
      </c>
      <c r="O54" s="615">
        <f t="shared" si="3"/>
        <v>0.44999999999998863</v>
      </c>
      <c r="P54" s="615">
        <f t="shared" si="4"/>
        <v>46619.999999998821</v>
      </c>
      <c r="Q54" s="615">
        <f t="shared" si="5"/>
        <v>964316.94608219061</v>
      </c>
      <c r="R54" s="749">
        <v>278.25</v>
      </c>
      <c r="S54" s="709"/>
    </row>
    <row r="55" spans="1:19" s="616" customFormat="1" hidden="1" x14ac:dyDescent="0.3">
      <c r="A55" s="744" t="s">
        <v>66</v>
      </c>
      <c r="B55" s="614"/>
      <c r="C55" s="721">
        <v>45496</v>
      </c>
      <c r="D55" s="614">
        <v>90</v>
      </c>
      <c r="E55" s="753">
        <v>45586</v>
      </c>
      <c r="F55" s="692">
        <v>103600</v>
      </c>
      <c r="G55" s="693">
        <f t="shared" si="0"/>
        <v>28873320</v>
      </c>
      <c r="H55" s="759">
        <v>278.7</v>
      </c>
      <c r="I55" s="614">
        <v>90</v>
      </c>
      <c r="J55" s="694"/>
      <c r="K55" s="694"/>
      <c r="L55" s="615">
        <v>10196.632734246576</v>
      </c>
      <c r="M55" s="615">
        <f t="shared" si="1"/>
        <v>917696.94608219177</v>
      </c>
      <c r="N55" s="615">
        <f t="shared" si="2"/>
        <v>917696.94608219177</v>
      </c>
      <c r="O55" s="615">
        <f t="shared" si="3"/>
        <v>0.44999999999998863</v>
      </c>
      <c r="P55" s="615">
        <f t="shared" si="4"/>
        <v>46619.999999998821</v>
      </c>
      <c r="Q55" s="615">
        <f t="shared" si="5"/>
        <v>964316.94608219061</v>
      </c>
      <c r="R55" s="749">
        <v>278.25</v>
      </c>
      <c r="S55" s="709"/>
    </row>
    <row r="56" spans="1:19" s="613" customFormat="1" hidden="1" x14ac:dyDescent="0.3">
      <c r="A56" s="744" t="s">
        <v>205</v>
      </c>
      <c r="B56" s="614"/>
      <c r="C56" s="721">
        <f>+E56-D56</f>
        <v>45518</v>
      </c>
      <c r="D56" s="614">
        <v>90</v>
      </c>
      <c r="E56" s="753">
        <v>45608</v>
      </c>
      <c r="F56" s="692">
        <v>101217.4</v>
      </c>
      <c r="G56" s="693">
        <f t="shared" si="0"/>
        <v>28249776.34</v>
      </c>
      <c r="H56" s="760">
        <v>279.10000000000002</v>
      </c>
      <c r="I56" s="614">
        <v>90</v>
      </c>
      <c r="J56" s="694"/>
      <c r="K56" s="694"/>
      <c r="L56" s="615">
        <v>10131.221158646575</v>
      </c>
      <c r="M56" s="615">
        <f t="shared" si="1"/>
        <v>911809.90427819174</v>
      </c>
      <c r="N56" s="615">
        <f t="shared" si="2"/>
        <v>911809.90427819174</v>
      </c>
      <c r="O56" s="615">
        <f t="shared" si="3"/>
        <v>0.85000000000002274</v>
      </c>
      <c r="P56" s="615">
        <f t="shared" si="4"/>
        <v>86034.790000002293</v>
      </c>
      <c r="Q56" s="615">
        <f t="shared" si="5"/>
        <v>997844.69427819399</v>
      </c>
      <c r="R56" s="749">
        <v>278.25</v>
      </c>
      <c r="S56" s="709" t="s">
        <v>340</v>
      </c>
    </row>
    <row r="57" spans="1:19" s="613" customFormat="1" hidden="1" x14ac:dyDescent="0.3">
      <c r="A57" s="744" t="s">
        <v>68</v>
      </c>
      <c r="B57" s="614"/>
      <c r="C57" s="721">
        <f>E57-D57</f>
        <v>45576</v>
      </c>
      <c r="D57" s="614">
        <v>30</v>
      </c>
      <c r="E57" s="753">
        <v>45606</v>
      </c>
      <c r="F57" s="692">
        <v>66820</v>
      </c>
      <c r="G57" s="692">
        <f t="shared" si="0"/>
        <v>18589324</v>
      </c>
      <c r="H57" s="760">
        <v>278.2</v>
      </c>
      <c r="I57" s="614">
        <v>30</v>
      </c>
      <c r="J57" s="694"/>
      <c r="K57" s="694"/>
      <c r="L57" s="615">
        <v>6564.8325030136994</v>
      </c>
      <c r="M57" s="615">
        <f t="shared" si="1"/>
        <v>196944.97509041097</v>
      </c>
      <c r="N57" s="615">
        <f t="shared" si="2"/>
        <v>196944.97509041097</v>
      </c>
      <c r="O57" s="615">
        <f t="shared" si="3"/>
        <v>-0.44999999999998863</v>
      </c>
      <c r="P57" s="615">
        <f t="shared" si="4"/>
        <v>-30068.99999999924</v>
      </c>
      <c r="Q57" s="615">
        <f t="shared" si="5"/>
        <v>166875.97509041172</v>
      </c>
      <c r="R57" s="749">
        <v>278.64999999999998</v>
      </c>
      <c r="S57" s="709"/>
    </row>
    <row r="58" spans="1:19" s="616" customFormat="1" hidden="1" x14ac:dyDescent="0.3">
      <c r="A58" s="744" t="s">
        <v>66</v>
      </c>
      <c r="B58" s="614"/>
      <c r="C58" s="753">
        <f>E58-D58</f>
        <v>45559</v>
      </c>
      <c r="D58" s="614">
        <v>90</v>
      </c>
      <c r="E58" s="753">
        <v>45649</v>
      </c>
      <c r="F58" s="692">
        <v>19600</v>
      </c>
      <c r="G58" s="693">
        <f t="shared" ref="G58:G63" si="6">F58*H58</f>
        <v>5453700</v>
      </c>
      <c r="H58" s="759">
        <v>278.25</v>
      </c>
      <c r="I58" s="614">
        <v>90</v>
      </c>
      <c r="J58" s="694"/>
      <c r="K58" s="694"/>
      <c r="L58" s="615">
        <v>1925.9778904109589</v>
      </c>
      <c r="M58" s="615">
        <f t="shared" si="1"/>
        <v>173338.0101369863</v>
      </c>
      <c r="N58" s="615">
        <f t="shared" si="2"/>
        <v>173338.0101369863</v>
      </c>
      <c r="O58" s="615">
        <f t="shared" si="3"/>
        <v>-0.75</v>
      </c>
      <c r="P58" s="615">
        <f t="shared" si="4"/>
        <v>-14700</v>
      </c>
      <c r="Q58" s="615">
        <f t="shared" si="5"/>
        <v>158638.0101369863</v>
      </c>
      <c r="R58" s="749">
        <v>279</v>
      </c>
      <c r="S58" s="750"/>
    </row>
    <row r="59" spans="1:19" s="616" customFormat="1" hidden="1" x14ac:dyDescent="0.3">
      <c r="A59" s="744" t="s">
        <v>66</v>
      </c>
      <c r="B59" s="614"/>
      <c r="C59" s="753">
        <f>E59-D59</f>
        <v>45580</v>
      </c>
      <c r="D59" s="614">
        <v>90</v>
      </c>
      <c r="E59" s="753">
        <v>45670</v>
      </c>
      <c r="F59" s="692">
        <v>47200</v>
      </c>
      <c r="G59" s="693">
        <f t="shared" si="6"/>
        <v>13126320.000000002</v>
      </c>
      <c r="H59" s="759">
        <v>278.10000000000002</v>
      </c>
      <c r="I59" s="614">
        <v>90</v>
      </c>
      <c r="J59" s="694"/>
      <c r="K59" s="694"/>
      <c r="L59" s="615">
        <v>4635.5688986301384</v>
      </c>
      <c r="M59" s="615">
        <f>L59*I59</f>
        <v>417201.20087671245</v>
      </c>
      <c r="N59" s="615">
        <f>M59-K59</f>
        <v>417201.20087671245</v>
      </c>
      <c r="O59" s="615">
        <f t="shared" si="3"/>
        <v>-1</v>
      </c>
      <c r="P59" s="615">
        <f t="shared" si="4"/>
        <v>-47200</v>
      </c>
      <c r="Q59" s="615">
        <f t="shared" si="5"/>
        <v>370001.20087671245</v>
      </c>
      <c r="R59" s="749">
        <v>279.10000000000002</v>
      </c>
      <c r="S59" s="750" t="s">
        <v>340</v>
      </c>
    </row>
    <row r="60" spans="1:19" s="616" customFormat="1" hidden="1" x14ac:dyDescent="0.3">
      <c r="A60" s="744" t="s">
        <v>338</v>
      </c>
      <c r="B60" s="614"/>
      <c r="C60" s="753">
        <f>E60-D60</f>
        <v>45580</v>
      </c>
      <c r="D60" s="614">
        <v>90</v>
      </c>
      <c r="E60" s="753">
        <v>45670</v>
      </c>
      <c r="F60" s="692">
        <v>18370</v>
      </c>
      <c r="G60" s="693">
        <f t="shared" si="6"/>
        <v>5108697</v>
      </c>
      <c r="H60" s="759">
        <v>278.10000000000002</v>
      </c>
      <c r="I60" s="614">
        <v>90</v>
      </c>
      <c r="J60" s="694"/>
      <c r="K60" s="694"/>
      <c r="L60" s="615">
        <v>1756.5519821917808</v>
      </c>
      <c r="M60" s="615">
        <f t="shared" si="1"/>
        <v>158089.67839726026</v>
      </c>
      <c r="N60" s="615">
        <f t="shared" si="2"/>
        <v>158089.67839726026</v>
      </c>
      <c r="O60" s="615">
        <f t="shared" si="3"/>
        <v>-1</v>
      </c>
      <c r="P60" s="615">
        <f t="shared" si="4"/>
        <v>-18370</v>
      </c>
      <c r="Q60" s="615">
        <f t="shared" si="5"/>
        <v>139719.67839726026</v>
      </c>
      <c r="R60" s="749">
        <v>279.10000000000002</v>
      </c>
      <c r="S60" s="750" t="s">
        <v>340</v>
      </c>
    </row>
    <row r="61" spans="1:19" s="616" customFormat="1" hidden="1" x14ac:dyDescent="0.3">
      <c r="A61" s="744" t="s">
        <v>66</v>
      </c>
      <c r="B61" s="614"/>
      <c r="C61" s="753">
        <f>+E61-D61</f>
        <v>45588</v>
      </c>
      <c r="D61" s="614">
        <v>90</v>
      </c>
      <c r="E61" s="753">
        <v>45678</v>
      </c>
      <c r="F61" s="692">
        <v>160864.20000000001</v>
      </c>
      <c r="G61" s="692">
        <f t="shared" si="6"/>
        <v>44744377.229999997</v>
      </c>
      <c r="H61" s="760">
        <v>278.14999999999998</v>
      </c>
      <c r="I61" s="614">
        <v>90</v>
      </c>
      <c r="J61" s="694"/>
      <c r="K61" s="694"/>
      <c r="L61" s="615">
        <v>15801.507465608218</v>
      </c>
      <c r="M61" s="615">
        <f>L61*I61</f>
        <v>1422135.6719047397</v>
      </c>
      <c r="N61" s="615">
        <f>M61-K61</f>
        <v>1422135.6719047397</v>
      </c>
      <c r="O61" s="615">
        <f>H61-R61</f>
        <v>-1.5300000000000296</v>
      </c>
      <c r="P61" s="615">
        <f>O61*F61</f>
        <v>-246122.22600000477</v>
      </c>
      <c r="Q61" s="615">
        <f t="shared" si="5"/>
        <v>1176013.445904735</v>
      </c>
      <c r="R61" s="749">
        <v>279.68</v>
      </c>
      <c r="S61" s="750" t="s">
        <v>340</v>
      </c>
    </row>
    <row r="62" spans="1:19" s="616" customFormat="1" hidden="1" x14ac:dyDescent="0.3">
      <c r="A62" s="744" t="s">
        <v>205</v>
      </c>
      <c r="B62" s="614"/>
      <c r="C62" s="753">
        <f>+E62-D62</f>
        <v>45582</v>
      </c>
      <c r="D62" s="614">
        <v>90</v>
      </c>
      <c r="E62" s="753">
        <v>45672</v>
      </c>
      <c r="F62" s="692">
        <v>63000</v>
      </c>
      <c r="G62" s="693">
        <f t="shared" si="6"/>
        <v>17529750</v>
      </c>
      <c r="H62" s="760">
        <v>278.25</v>
      </c>
      <c r="I62" s="614">
        <v>90</v>
      </c>
      <c r="J62" s="694"/>
      <c r="K62" s="694"/>
      <c r="L62" s="615">
        <v>6286.6966438356167</v>
      </c>
      <c r="M62" s="615">
        <f t="shared" si="1"/>
        <v>565802.69794520549</v>
      </c>
      <c r="N62" s="615">
        <f t="shared" si="2"/>
        <v>565802.69794520549</v>
      </c>
      <c r="O62" s="615">
        <f t="shared" si="3"/>
        <v>-0.85000000000002274</v>
      </c>
      <c r="P62" s="615">
        <f t="shared" si="4"/>
        <v>-53550.000000001433</v>
      </c>
      <c r="Q62" s="615">
        <f t="shared" si="5"/>
        <v>512252.69794520404</v>
      </c>
      <c r="R62" s="749">
        <v>279.10000000000002</v>
      </c>
      <c r="S62" s="750" t="s">
        <v>340</v>
      </c>
    </row>
    <row r="63" spans="1:19" s="613" customFormat="1" hidden="1" x14ac:dyDescent="0.3">
      <c r="A63" s="744" t="s">
        <v>205</v>
      </c>
      <c r="B63" s="614"/>
      <c r="C63" s="753">
        <f>E63-D63</f>
        <v>45589</v>
      </c>
      <c r="D63" s="614">
        <v>90</v>
      </c>
      <c r="E63" s="753">
        <v>45679</v>
      </c>
      <c r="F63" s="692">
        <v>193050</v>
      </c>
      <c r="G63" s="693">
        <f t="shared" si="6"/>
        <v>53687205.000000007</v>
      </c>
      <c r="H63" s="760">
        <v>278.10000000000002</v>
      </c>
      <c r="I63" s="614">
        <v>90</v>
      </c>
      <c r="J63" s="694"/>
      <c r="K63" s="694"/>
      <c r="L63" s="615">
        <v>19253.849683561646</v>
      </c>
      <c r="M63" s="615">
        <f>L63*I63</f>
        <v>1732846.4715205482</v>
      </c>
      <c r="N63" s="615">
        <f>M63-K63</f>
        <v>1732846.4715205482</v>
      </c>
      <c r="O63" s="615">
        <f>H63-R63</f>
        <v>-1.6499999999999773</v>
      </c>
      <c r="P63" s="615">
        <f>O63*F63</f>
        <v>-318532.49999999563</v>
      </c>
      <c r="Q63" s="615">
        <f t="shared" si="5"/>
        <v>1414313.9715205526</v>
      </c>
      <c r="R63" s="749">
        <v>279.75</v>
      </c>
      <c r="S63" s="750" t="s">
        <v>340</v>
      </c>
    </row>
    <row r="64" spans="1:19" s="616" customFormat="1" hidden="1" x14ac:dyDescent="0.3">
      <c r="A64" s="744" t="s">
        <v>67</v>
      </c>
      <c r="B64" s="614"/>
      <c r="C64" s="753">
        <f>+E64-D64</f>
        <v>45589</v>
      </c>
      <c r="D64" s="614">
        <v>90</v>
      </c>
      <c r="E64" s="753">
        <v>45679</v>
      </c>
      <c r="F64" s="692">
        <v>58190</v>
      </c>
      <c r="G64" s="692">
        <f t="shared" si="0"/>
        <v>16182639.000000002</v>
      </c>
      <c r="H64" s="760">
        <v>278.10000000000002</v>
      </c>
      <c r="I64" s="614">
        <v>90</v>
      </c>
      <c r="J64" s="694"/>
      <c r="K64" s="694"/>
      <c r="L64" s="615">
        <v>5453.3276630136997</v>
      </c>
      <c r="M64" s="615">
        <f t="shared" si="1"/>
        <v>490799.48967123299</v>
      </c>
      <c r="N64" s="615">
        <f t="shared" si="2"/>
        <v>490799.48967123299</v>
      </c>
      <c r="O64" s="615">
        <f t="shared" si="3"/>
        <v>-1.3999999999999773</v>
      </c>
      <c r="P64" s="615">
        <f t="shared" si="4"/>
        <v>-81465.999999998676</v>
      </c>
      <c r="Q64" s="615">
        <f t="shared" si="5"/>
        <v>409333.48967123433</v>
      </c>
      <c r="R64" s="749">
        <v>279.5</v>
      </c>
      <c r="S64" s="750" t="s">
        <v>340</v>
      </c>
    </row>
    <row r="65" spans="1:19" s="616" customFormat="1" hidden="1" x14ac:dyDescent="0.3">
      <c r="A65" s="744" t="s">
        <v>207</v>
      </c>
      <c r="B65" s="614"/>
      <c r="C65" s="753">
        <f>+E65-D65</f>
        <v>45615</v>
      </c>
      <c r="D65" s="614">
        <v>60</v>
      </c>
      <c r="E65" s="753">
        <v>45675</v>
      </c>
      <c r="F65" s="692">
        <v>66820</v>
      </c>
      <c r="G65" s="692">
        <f t="shared" ref="G65:G77" si="7">F65*H65</f>
        <v>18592665</v>
      </c>
      <c r="H65" s="760">
        <v>278.25</v>
      </c>
      <c r="I65" s="614">
        <v>60</v>
      </c>
      <c r="J65" s="694"/>
      <c r="K65" s="694"/>
      <c r="L65" s="615">
        <v>6392.8204315068497</v>
      </c>
      <c r="M65" s="615">
        <f t="shared" ref="M65:M70" si="8">L65*I65</f>
        <v>383569.22589041101</v>
      </c>
      <c r="N65" s="615">
        <f t="shared" ref="N65:N70" si="9">M65-K65</f>
        <v>383569.22589041101</v>
      </c>
      <c r="O65" s="615">
        <f t="shared" ref="O65:O70" si="10">H65-R65</f>
        <v>-1.25</v>
      </c>
      <c r="P65" s="615">
        <f t="shared" ref="P65:P70" si="11">O65*F65</f>
        <v>-83525</v>
      </c>
      <c r="Q65" s="615">
        <f t="shared" ref="Q65:Q70" si="12">N65+P65</f>
        <v>300044.22589041101</v>
      </c>
      <c r="R65" s="749">
        <v>279.5</v>
      </c>
      <c r="S65" s="750" t="s">
        <v>340</v>
      </c>
    </row>
    <row r="66" spans="1:19" s="613" customFormat="1" hidden="1" x14ac:dyDescent="0.3">
      <c r="A66" s="744" t="s">
        <v>206</v>
      </c>
      <c r="B66" s="614"/>
      <c r="C66" s="753">
        <f>E66-D66</f>
        <v>45601</v>
      </c>
      <c r="D66" s="614">
        <v>90</v>
      </c>
      <c r="E66" s="753">
        <v>45691</v>
      </c>
      <c r="F66" s="692">
        <v>123000</v>
      </c>
      <c r="G66" s="692">
        <f t="shared" si="7"/>
        <v>34218600</v>
      </c>
      <c r="H66" s="760">
        <v>278.2</v>
      </c>
      <c r="I66" s="614">
        <v>90</v>
      </c>
      <c r="J66" s="694"/>
      <c r="K66" s="694"/>
      <c r="L66" s="615">
        <v>12224.946410958906</v>
      </c>
      <c r="M66" s="615">
        <f t="shared" si="8"/>
        <v>1100245.1769863016</v>
      </c>
      <c r="N66" s="615">
        <f t="shared" si="9"/>
        <v>1100245.1769863016</v>
      </c>
      <c r="O66" s="615">
        <f t="shared" si="10"/>
        <v>-1.4000000000000341</v>
      </c>
      <c r="P66" s="615">
        <f t="shared" si="11"/>
        <v>-172200.00000000419</v>
      </c>
      <c r="Q66" s="615">
        <f t="shared" si="12"/>
        <v>928045.17698629736</v>
      </c>
      <c r="R66" s="749">
        <v>279.60000000000002</v>
      </c>
      <c r="S66" s="750" t="s">
        <v>340</v>
      </c>
    </row>
    <row r="67" spans="1:19" s="613" customFormat="1" hidden="1" x14ac:dyDescent="0.3">
      <c r="A67" s="744" t="s">
        <v>206</v>
      </c>
      <c r="B67" s="614"/>
      <c r="C67" s="753">
        <f>E67-D67</f>
        <v>45601</v>
      </c>
      <c r="D67" s="614">
        <v>90</v>
      </c>
      <c r="E67" s="753">
        <v>45691</v>
      </c>
      <c r="F67" s="692">
        <v>123000</v>
      </c>
      <c r="G67" s="692">
        <f t="shared" si="7"/>
        <v>34218600</v>
      </c>
      <c r="H67" s="760">
        <v>278.2</v>
      </c>
      <c r="I67" s="614">
        <v>90</v>
      </c>
      <c r="J67" s="694"/>
      <c r="K67" s="694"/>
      <c r="L67" s="615">
        <v>12224.946410958906</v>
      </c>
      <c r="M67" s="615">
        <f t="shared" si="8"/>
        <v>1100245.1769863016</v>
      </c>
      <c r="N67" s="615">
        <f t="shared" si="9"/>
        <v>1100245.1769863016</v>
      </c>
      <c r="O67" s="615">
        <f t="shared" si="10"/>
        <v>-1.4000000000000341</v>
      </c>
      <c r="P67" s="615">
        <f t="shared" si="11"/>
        <v>-172200.00000000419</v>
      </c>
      <c r="Q67" s="615">
        <f t="shared" si="12"/>
        <v>928045.17698629736</v>
      </c>
      <c r="R67" s="749">
        <v>279.60000000000002</v>
      </c>
      <c r="S67" s="750" t="s">
        <v>340</v>
      </c>
    </row>
    <row r="68" spans="1:19" s="613" customFormat="1" hidden="1" x14ac:dyDescent="0.3">
      <c r="A68" s="744" t="s">
        <v>206</v>
      </c>
      <c r="B68" s="614"/>
      <c r="C68" s="753">
        <f>E68-D68</f>
        <v>45601</v>
      </c>
      <c r="D68" s="614">
        <v>90</v>
      </c>
      <c r="E68" s="753">
        <v>45691</v>
      </c>
      <c r="F68" s="692">
        <v>82000</v>
      </c>
      <c r="G68" s="692">
        <f t="shared" si="7"/>
        <v>22812400</v>
      </c>
      <c r="H68" s="760">
        <v>278.2</v>
      </c>
      <c r="I68" s="614">
        <v>90</v>
      </c>
      <c r="J68" s="694"/>
      <c r="K68" s="694"/>
      <c r="L68" s="615">
        <v>8149.9642739726023</v>
      </c>
      <c r="M68" s="615">
        <f t="shared" si="8"/>
        <v>733496.78465753421</v>
      </c>
      <c r="N68" s="615">
        <f t="shared" si="9"/>
        <v>733496.78465753421</v>
      </c>
      <c r="O68" s="615">
        <f t="shared" si="10"/>
        <v>-1.4000000000000341</v>
      </c>
      <c r="P68" s="615">
        <f t="shared" si="11"/>
        <v>-114800.00000000279</v>
      </c>
      <c r="Q68" s="615">
        <f t="shared" si="12"/>
        <v>618696.78465753142</v>
      </c>
      <c r="R68" s="749">
        <v>279.60000000000002</v>
      </c>
      <c r="S68" s="750" t="s">
        <v>340</v>
      </c>
    </row>
    <row r="69" spans="1:19" s="613" customFormat="1" hidden="1" x14ac:dyDescent="0.3">
      <c r="A69" s="744" t="s">
        <v>69</v>
      </c>
      <c r="B69" s="614"/>
      <c r="C69" s="753">
        <f>E69-D69</f>
        <v>45569</v>
      </c>
      <c r="D69" s="614">
        <v>90</v>
      </c>
      <c r="E69" s="753">
        <v>45659</v>
      </c>
      <c r="F69" s="692">
        <v>31590</v>
      </c>
      <c r="G69" s="692">
        <f t="shared" si="7"/>
        <v>8788338</v>
      </c>
      <c r="H69" s="760">
        <v>278.2</v>
      </c>
      <c r="I69" s="614">
        <v>90</v>
      </c>
      <c r="J69" s="694"/>
      <c r="K69" s="694"/>
      <c r="L69" s="615">
        <v>3091.5687649315068</v>
      </c>
      <c r="M69" s="615">
        <f t="shared" si="8"/>
        <v>278241.18884383561</v>
      </c>
      <c r="N69" s="615">
        <f t="shared" si="9"/>
        <v>278241.18884383561</v>
      </c>
      <c r="O69" s="615">
        <f t="shared" si="10"/>
        <v>-1</v>
      </c>
      <c r="P69" s="615">
        <f t="shared" si="11"/>
        <v>-31590</v>
      </c>
      <c r="Q69" s="615">
        <f t="shared" si="12"/>
        <v>246651.18884383561</v>
      </c>
      <c r="R69" s="749">
        <v>279.2</v>
      </c>
      <c r="S69" s="750" t="s">
        <v>340</v>
      </c>
    </row>
    <row r="70" spans="1:19" s="773" customFormat="1" hidden="1" x14ac:dyDescent="0.3">
      <c r="A70" s="744" t="s">
        <v>327</v>
      </c>
      <c r="B70" s="614"/>
      <c r="C70" s="753">
        <f>E70-D70</f>
        <v>45633</v>
      </c>
      <c r="D70" s="614">
        <v>60</v>
      </c>
      <c r="E70" s="753">
        <v>45693</v>
      </c>
      <c r="F70" s="692">
        <v>164934.62</v>
      </c>
      <c r="G70" s="692">
        <f t="shared" ref="G70:G76" si="13">F70*H70</f>
        <v>45909551.477000006</v>
      </c>
      <c r="H70" s="760">
        <v>278.35000000000002</v>
      </c>
      <c r="I70" s="614">
        <v>60</v>
      </c>
      <c r="J70" s="694"/>
      <c r="K70" s="694"/>
      <c r="L70" s="615">
        <v>15584.091583562469</v>
      </c>
      <c r="M70" s="615">
        <f t="shared" si="8"/>
        <v>935045.49501374818</v>
      </c>
      <c r="N70" s="615">
        <f t="shared" si="9"/>
        <v>935045.49501374818</v>
      </c>
      <c r="O70" s="615">
        <f t="shared" si="10"/>
        <v>-1.0499999999999545</v>
      </c>
      <c r="P70" s="615">
        <f t="shared" si="11"/>
        <v>-173181.35099999249</v>
      </c>
      <c r="Q70" s="615">
        <f t="shared" si="12"/>
        <v>761864.14401375572</v>
      </c>
      <c r="R70" s="771">
        <v>279.39999999999998</v>
      </c>
      <c r="S70" s="772" t="s">
        <v>340</v>
      </c>
    </row>
    <row r="71" spans="1:19" s="711" customFormat="1" hidden="1" x14ac:dyDescent="0.3">
      <c r="A71" s="783" t="s">
        <v>91</v>
      </c>
      <c r="B71" s="784"/>
      <c r="C71" s="785">
        <f>+E71-D71</f>
        <v>45611</v>
      </c>
      <c r="D71" s="784">
        <v>90</v>
      </c>
      <c r="E71" s="785">
        <v>45701</v>
      </c>
      <c r="F71" s="786">
        <v>251250</v>
      </c>
      <c r="G71" s="786">
        <f t="shared" si="13"/>
        <v>69885187.5</v>
      </c>
      <c r="H71" s="787">
        <v>278.14999999999998</v>
      </c>
      <c r="I71" s="784">
        <v>90</v>
      </c>
      <c r="J71" s="788"/>
      <c r="K71" s="788"/>
      <c r="L71" s="789">
        <v>23722.670496575342</v>
      </c>
      <c r="M71" s="789">
        <f t="shared" ref="M71:M93" si="14">L71*I71</f>
        <v>2135040.3446917809</v>
      </c>
      <c r="N71" s="789">
        <f t="shared" ref="N71:N93" si="15">M71-K71</f>
        <v>2135040.3446917809</v>
      </c>
      <c r="O71" s="789">
        <f t="shared" ref="O71:O76" si="16">H71-R71</f>
        <v>-1.8500000000000227</v>
      </c>
      <c r="P71" s="789">
        <f t="shared" ref="P71:P93" si="17">O71*F71</f>
        <v>-464812.5000000057</v>
      </c>
      <c r="Q71" s="789">
        <f t="shared" ref="Q71:Q93" si="18">N71+P71</f>
        <v>1670227.8446917753</v>
      </c>
      <c r="R71" s="749">
        <v>280</v>
      </c>
      <c r="S71" s="718" t="s">
        <v>340</v>
      </c>
    </row>
    <row r="72" spans="1:19" s="711" customFormat="1" hidden="1" x14ac:dyDescent="0.3">
      <c r="A72" s="783" t="s">
        <v>91</v>
      </c>
      <c r="B72" s="784"/>
      <c r="C72" s="785">
        <f>+E72-D72</f>
        <v>45611</v>
      </c>
      <c r="D72" s="784">
        <v>90</v>
      </c>
      <c r="E72" s="785">
        <v>45701</v>
      </c>
      <c r="F72" s="786">
        <v>251250</v>
      </c>
      <c r="G72" s="786">
        <f t="shared" si="13"/>
        <v>69885187.5</v>
      </c>
      <c r="H72" s="787">
        <v>278.14999999999998</v>
      </c>
      <c r="I72" s="784">
        <v>90</v>
      </c>
      <c r="J72" s="788"/>
      <c r="K72" s="788"/>
      <c r="L72" s="789">
        <v>23722.670496575342</v>
      </c>
      <c r="M72" s="789">
        <f t="shared" si="14"/>
        <v>2135040.3446917809</v>
      </c>
      <c r="N72" s="789">
        <f t="shared" si="15"/>
        <v>2135040.3446917809</v>
      </c>
      <c r="O72" s="789">
        <f t="shared" si="16"/>
        <v>-1.8500000000000227</v>
      </c>
      <c r="P72" s="789">
        <f t="shared" si="17"/>
        <v>-464812.5000000057</v>
      </c>
      <c r="Q72" s="789">
        <f t="shared" si="18"/>
        <v>1670227.8446917753</v>
      </c>
      <c r="R72" s="749">
        <v>280</v>
      </c>
      <c r="S72" s="718" t="s">
        <v>340</v>
      </c>
    </row>
    <row r="73" spans="1:19" s="613" customFormat="1" hidden="1" x14ac:dyDescent="0.3">
      <c r="A73" s="783" t="s">
        <v>67</v>
      </c>
      <c r="B73" s="784"/>
      <c r="C73" s="785">
        <f>E73-D73</f>
        <v>45611</v>
      </c>
      <c r="D73" s="784">
        <v>90</v>
      </c>
      <c r="E73" s="785">
        <v>45701</v>
      </c>
      <c r="F73" s="786">
        <v>117500</v>
      </c>
      <c r="G73" s="786">
        <f t="shared" si="13"/>
        <v>32682624.999999996</v>
      </c>
      <c r="H73" s="787">
        <v>278.14999999999998</v>
      </c>
      <c r="I73" s="784">
        <v>90</v>
      </c>
      <c r="J73" s="788"/>
      <c r="K73" s="788"/>
      <c r="L73" s="789">
        <v>11497.120684931506</v>
      </c>
      <c r="M73" s="789">
        <f t="shared" si="14"/>
        <v>1034740.8616438356</v>
      </c>
      <c r="N73" s="789">
        <f t="shared" si="15"/>
        <v>1034740.8616438356</v>
      </c>
      <c r="O73" s="789">
        <f t="shared" si="16"/>
        <v>-1.4000000000000341</v>
      </c>
      <c r="P73" s="789">
        <f t="shared" si="17"/>
        <v>-164500.00000000402</v>
      </c>
      <c r="Q73" s="789">
        <f t="shared" si="18"/>
        <v>870240.86164383148</v>
      </c>
      <c r="R73" s="749">
        <v>279.55</v>
      </c>
      <c r="S73" s="750" t="s">
        <v>340</v>
      </c>
    </row>
    <row r="74" spans="1:19" s="613" customFormat="1" hidden="1" x14ac:dyDescent="0.3">
      <c r="A74" s="744" t="s">
        <v>69</v>
      </c>
      <c r="B74" s="614"/>
      <c r="C74" s="753">
        <f>+E74-D74</f>
        <v>45648</v>
      </c>
      <c r="D74" s="614">
        <v>60</v>
      </c>
      <c r="E74" s="753">
        <v>45708</v>
      </c>
      <c r="F74" s="692">
        <v>267750</v>
      </c>
      <c r="G74" s="692">
        <f t="shared" si="13"/>
        <v>74635312.5</v>
      </c>
      <c r="H74" s="760">
        <v>278.75</v>
      </c>
      <c r="I74" s="614">
        <v>60</v>
      </c>
      <c r="J74" s="694"/>
      <c r="K74" s="694"/>
      <c r="L74" s="615">
        <f>G74*P233/36500</f>
        <v>25416.902311643837</v>
      </c>
      <c r="M74" s="615">
        <f t="shared" si="14"/>
        <v>1525014.1386986303</v>
      </c>
      <c r="N74" s="615">
        <f t="shared" si="15"/>
        <v>1525014.1386986303</v>
      </c>
      <c r="O74" s="615">
        <f t="shared" si="16"/>
        <v>-1.6499999999999773</v>
      </c>
      <c r="P74" s="615">
        <f t="shared" si="17"/>
        <v>-441787.49999999389</v>
      </c>
      <c r="Q74" s="615">
        <f t="shared" si="18"/>
        <v>1083226.6386986363</v>
      </c>
      <c r="R74" s="790">
        <v>280.39999999999998</v>
      </c>
      <c r="S74" s="750" t="s">
        <v>339</v>
      </c>
    </row>
    <row r="75" spans="1:19" s="613" customFormat="1" hidden="1" x14ac:dyDescent="0.3">
      <c r="A75" s="744" t="s">
        <v>327</v>
      </c>
      <c r="B75" s="614"/>
      <c r="C75" s="753">
        <f>E75-D75</f>
        <v>45618</v>
      </c>
      <c r="D75" s="614">
        <v>90</v>
      </c>
      <c r="E75" s="753">
        <v>45708</v>
      </c>
      <c r="F75" s="692">
        <v>98920</v>
      </c>
      <c r="G75" s="692">
        <f t="shared" si="13"/>
        <v>27534382.000000004</v>
      </c>
      <c r="H75" s="760">
        <v>278.35000000000002</v>
      </c>
      <c r="I75" s="614">
        <v>90</v>
      </c>
      <c r="J75" s="694"/>
      <c r="K75" s="694"/>
      <c r="L75" s="615">
        <f>G75*P232/36500</f>
        <v>9753.9605276712336</v>
      </c>
      <c r="M75" s="615">
        <f t="shared" si="14"/>
        <v>877856.447490411</v>
      </c>
      <c r="N75" s="615">
        <f t="shared" si="15"/>
        <v>877856.447490411</v>
      </c>
      <c r="O75" s="615">
        <f t="shared" si="16"/>
        <v>278.35000000000002</v>
      </c>
      <c r="P75" s="615">
        <f t="shared" si="17"/>
        <v>27534382.000000004</v>
      </c>
      <c r="Q75" s="615">
        <f t="shared" si="18"/>
        <v>28412238.447490416</v>
      </c>
      <c r="R75" s="790">
        <v>0</v>
      </c>
      <c r="S75" s="750" t="s">
        <v>339</v>
      </c>
    </row>
    <row r="76" spans="1:19" s="616" customFormat="1" hidden="1" x14ac:dyDescent="0.3">
      <c r="A76" s="744" t="s">
        <v>338</v>
      </c>
      <c r="B76" s="614"/>
      <c r="C76" s="753">
        <f>+E76-D76</f>
        <v>45648</v>
      </c>
      <c r="D76" s="614">
        <v>60</v>
      </c>
      <c r="E76" s="753">
        <v>45708</v>
      </c>
      <c r="F76" s="692">
        <v>267750</v>
      </c>
      <c r="G76" s="693">
        <f t="shared" si="13"/>
        <v>74635312.5</v>
      </c>
      <c r="H76" s="759">
        <v>278.75</v>
      </c>
      <c r="I76" s="614">
        <v>60</v>
      </c>
      <c r="J76" s="694"/>
      <c r="K76" s="694"/>
      <c r="L76" s="615">
        <f>G76*P228/36500</f>
        <v>25846.310958904109</v>
      </c>
      <c r="M76" s="615">
        <f t="shared" si="14"/>
        <v>1550778.6575342466</v>
      </c>
      <c r="N76" s="615">
        <f t="shared" si="15"/>
        <v>1550778.6575342466</v>
      </c>
      <c r="O76" s="615">
        <f t="shared" si="16"/>
        <v>-1.4499999999999886</v>
      </c>
      <c r="P76" s="615">
        <f t="shared" si="17"/>
        <v>-388237.49999999697</v>
      </c>
      <c r="Q76" s="615">
        <f t="shared" si="18"/>
        <v>1162541.1575342496</v>
      </c>
      <c r="R76" s="790">
        <v>280.2</v>
      </c>
      <c r="S76" s="750" t="s">
        <v>339</v>
      </c>
    </row>
    <row r="77" spans="1:19" s="616" customFormat="1" hidden="1" x14ac:dyDescent="0.3">
      <c r="A77" s="744" t="s">
        <v>67</v>
      </c>
      <c r="B77" s="614"/>
      <c r="C77" s="753">
        <f>+E77-D77</f>
        <v>45625</v>
      </c>
      <c r="D77" s="614">
        <v>90</v>
      </c>
      <c r="E77" s="753">
        <v>45715</v>
      </c>
      <c r="F77" s="692">
        <v>299040</v>
      </c>
      <c r="G77" s="692">
        <f t="shared" si="7"/>
        <v>11614713.600000001</v>
      </c>
      <c r="H77" s="760">
        <v>38.840000000000003</v>
      </c>
      <c r="I77" s="614">
        <v>90</v>
      </c>
      <c r="J77" s="694"/>
      <c r="K77" s="694"/>
      <c r="L77" s="694">
        <f>G77*P231/36500</f>
        <v>3942.6383973698639</v>
      </c>
      <c r="M77" s="694">
        <f t="shared" si="14"/>
        <v>354837.45576328773</v>
      </c>
      <c r="N77" s="694">
        <f t="shared" si="15"/>
        <v>354837.45576328773</v>
      </c>
      <c r="O77" s="694">
        <f t="shared" ref="O77:O93" si="19">H77-R77</f>
        <v>0.23000000000000398</v>
      </c>
      <c r="P77" s="694">
        <f t="shared" si="17"/>
        <v>68779.20000000119</v>
      </c>
      <c r="Q77" s="694">
        <f t="shared" si="18"/>
        <v>423616.6557632889</v>
      </c>
      <c r="R77" s="790">
        <v>38.61</v>
      </c>
      <c r="S77" s="750" t="s">
        <v>340</v>
      </c>
    </row>
    <row r="78" spans="1:19" s="613" customFormat="1" hidden="1" x14ac:dyDescent="0.3">
      <c r="A78" s="744" t="s">
        <v>69</v>
      </c>
      <c r="B78" s="614"/>
      <c r="C78" s="753">
        <f>E78-D78</f>
        <v>45629</v>
      </c>
      <c r="D78" s="614">
        <v>90</v>
      </c>
      <c r="E78" s="753">
        <v>45719</v>
      </c>
      <c r="F78" s="692">
        <v>39260</v>
      </c>
      <c r="G78" s="692">
        <f>F78*H78</f>
        <v>10931947</v>
      </c>
      <c r="H78" s="760">
        <v>278.45</v>
      </c>
      <c r="I78" s="614">
        <v>90</v>
      </c>
      <c r="J78" s="694"/>
      <c r="K78" s="694"/>
      <c r="L78" s="615">
        <f>G78*P233/36500</f>
        <v>3722.8520879452058</v>
      </c>
      <c r="M78" s="615">
        <f t="shared" si="14"/>
        <v>335056.68791506853</v>
      </c>
      <c r="N78" s="615">
        <f t="shared" si="15"/>
        <v>335056.68791506853</v>
      </c>
      <c r="O78" s="615">
        <f t="shared" si="19"/>
        <v>-2.4000000000000341</v>
      </c>
      <c r="P78" s="615">
        <f t="shared" si="17"/>
        <v>-94224.000000001339</v>
      </c>
      <c r="Q78" s="615">
        <f t="shared" si="18"/>
        <v>240832.68791506719</v>
      </c>
      <c r="R78" s="790">
        <v>280.85000000000002</v>
      </c>
      <c r="S78" s="750" t="s">
        <v>339</v>
      </c>
    </row>
    <row r="79" spans="1:19" s="795" customFormat="1" hidden="1" x14ac:dyDescent="0.3">
      <c r="A79" s="783" t="s">
        <v>67</v>
      </c>
      <c r="B79" s="784"/>
      <c r="C79" s="785">
        <f>+E79-D79</f>
        <v>45659</v>
      </c>
      <c r="D79" s="784">
        <v>60</v>
      </c>
      <c r="E79" s="785">
        <v>45719</v>
      </c>
      <c r="F79" s="786">
        <v>123112.02</v>
      </c>
      <c r="G79" s="786">
        <f>F79*H79</f>
        <v>34342097.979000002</v>
      </c>
      <c r="H79" s="787">
        <v>278.95</v>
      </c>
      <c r="I79" s="784">
        <v>60</v>
      </c>
      <c r="J79" s="788"/>
      <c r="K79" s="788"/>
      <c r="L79" s="789">
        <f>G79*P231/36500</f>
        <v>11657.495724926303</v>
      </c>
      <c r="M79" s="789">
        <f t="shared" si="14"/>
        <v>699449.74349557818</v>
      </c>
      <c r="N79" s="789">
        <f t="shared" si="15"/>
        <v>699449.74349557818</v>
      </c>
      <c r="O79" s="789">
        <f t="shared" si="19"/>
        <v>-1.75</v>
      </c>
      <c r="P79" s="789">
        <f t="shared" si="17"/>
        <v>-215446.035</v>
      </c>
      <c r="Q79" s="789">
        <f t="shared" si="18"/>
        <v>484003.70849557815</v>
      </c>
      <c r="R79" s="790">
        <v>280.7</v>
      </c>
      <c r="S79" s="750" t="s">
        <v>339</v>
      </c>
    </row>
    <row r="80" spans="1:19" s="616" customFormat="1" hidden="1" x14ac:dyDescent="0.3">
      <c r="A80" s="744" t="s">
        <v>338</v>
      </c>
      <c r="B80" s="614"/>
      <c r="C80" s="753">
        <v>45659</v>
      </c>
      <c r="D80" s="614">
        <v>60</v>
      </c>
      <c r="E80" s="753">
        <v>45719</v>
      </c>
      <c r="F80" s="692">
        <v>123112.02</v>
      </c>
      <c r="G80" s="693">
        <f>F80*H80</f>
        <v>34342097.979000002</v>
      </c>
      <c r="H80" s="759">
        <v>278.95</v>
      </c>
      <c r="I80" s="614">
        <v>60</v>
      </c>
      <c r="J80" s="694"/>
      <c r="K80" s="694"/>
      <c r="L80" s="615">
        <f>G80*P228/36500</f>
        <v>11892.715574097536</v>
      </c>
      <c r="M80" s="615">
        <f t="shared" si="14"/>
        <v>713562.93444585218</v>
      </c>
      <c r="N80" s="615">
        <f t="shared" si="15"/>
        <v>713562.93444585218</v>
      </c>
      <c r="O80" s="615">
        <f t="shared" si="19"/>
        <v>-1.6999999999999886</v>
      </c>
      <c r="P80" s="615">
        <f t="shared" si="17"/>
        <v>-209290.43399999861</v>
      </c>
      <c r="Q80" s="615">
        <f t="shared" si="18"/>
        <v>504272.50044585357</v>
      </c>
      <c r="R80" s="749">
        <v>280.64999999999998</v>
      </c>
      <c r="S80" s="750" t="s">
        <v>339</v>
      </c>
    </row>
    <row r="81" spans="1:19" s="616" customFormat="1" hidden="1" x14ac:dyDescent="0.3">
      <c r="A81" s="744" t="s">
        <v>69</v>
      </c>
      <c r="B81" s="614"/>
      <c r="C81" s="753">
        <f>+E81-D81</f>
        <v>45647</v>
      </c>
      <c r="D81" s="614">
        <v>90</v>
      </c>
      <c r="E81" s="753">
        <v>45737</v>
      </c>
      <c r="F81" s="692">
        <v>441000</v>
      </c>
      <c r="G81" s="692">
        <f>+F81*H81</f>
        <v>16859430</v>
      </c>
      <c r="H81" s="760">
        <v>38.229999999999997</v>
      </c>
      <c r="I81" s="614">
        <v>90</v>
      </c>
      <c r="J81" s="694"/>
      <c r="K81" s="694"/>
      <c r="L81" s="615">
        <f>G81*P233/36500</f>
        <v>5741.4442438356164</v>
      </c>
      <c r="M81" s="615">
        <f t="shared" si="14"/>
        <v>516729.98194520548</v>
      </c>
      <c r="N81" s="615">
        <f t="shared" si="15"/>
        <v>516729.98194520548</v>
      </c>
      <c r="O81" s="615">
        <f t="shared" si="19"/>
        <v>-0.67000000000000171</v>
      </c>
      <c r="P81" s="615">
        <f t="shared" si="17"/>
        <v>-295470.00000000076</v>
      </c>
      <c r="Q81" s="615">
        <f t="shared" si="18"/>
        <v>221259.98194520472</v>
      </c>
      <c r="R81" s="790">
        <v>38.9</v>
      </c>
      <c r="S81" s="750" t="s">
        <v>339</v>
      </c>
    </row>
    <row r="82" spans="1:19" s="616" customFormat="1" hidden="1" x14ac:dyDescent="0.3">
      <c r="A82" s="744" t="s">
        <v>66</v>
      </c>
      <c r="B82" s="614"/>
      <c r="C82" s="753">
        <v>45658</v>
      </c>
      <c r="D82" s="614">
        <v>90</v>
      </c>
      <c r="E82" s="753">
        <v>45748</v>
      </c>
      <c r="F82" s="692">
        <v>52800</v>
      </c>
      <c r="G82" s="692">
        <f t="shared" ref="G82:G101" si="20">F82*H82</f>
        <v>14728560</v>
      </c>
      <c r="H82" s="760">
        <v>278.95</v>
      </c>
      <c r="I82" s="614">
        <v>90</v>
      </c>
      <c r="J82" s="694"/>
      <c r="K82" s="694"/>
      <c r="L82" s="615">
        <f>G82*P227/36500</f>
        <v>5173.1544986301378</v>
      </c>
      <c r="M82" s="615">
        <f t="shared" si="14"/>
        <v>465583.90487671242</v>
      </c>
      <c r="N82" s="615">
        <f t="shared" si="15"/>
        <v>465583.90487671242</v>
      </c>
      <c r="O82" s="615">
        <f t="shared" si="19"/>
        <v>-2.1999999999999886</v>
      </c>
      <c r="P82" s="615">
        <f t="shared" si="17"/>
        <v>-116159.9999999994</v>
      </c>
      <c r="Q82" s="615">
        <f t="shared" si="18"/>
        <v>349423.904876713</v>
      </c>
      <c r="R82" s="790">
        <v>281.14999999999998</v>
      </c>
      <c r="S82" s="750" t="s">
        <v>340</v>
      </c>
    </row>
    <row r="83" spans="1:19" s="795" customFormat="1" hidden="1" x14ac:dyDescent="0.3">
      <c r="A83" s="783" t="s">
        <v>67</v>
      </c>
      <c r="B83" s="784"/>
      <c r="C83" s="785">
        <f>E83-D83</f>
        <v>45659</v>
      </c>
      <c r="D83" s="784">
        <v>90</v>
      </c>
      <c r="E83" s="785">
        <v>45749</v>
      </c>
      <c r="F83" s="786">
        <v>17200</v>
      </c>
      <c r="G83" s="786">
        <f t="shared" si="20"/>
        <v>4797940</v>
      </c>
      <c r="H83" s="787">
        <v>278.95</v>
      </c>
      <c r="I83" s="784">
        <v>90</v>
      </c>
      <c r="J83" s="788"/>
      <c r="K83" s="788"/>
      <c r="L83" s="788">
        <f>G83*P231/36500</f>
        <v>1628.670591780822</v>
      </c>
      <c r="M83" s="789">
        <f t="shared" si="14"/>
        <v>146580.35326027399</v>
      </c>
      <c r="N83" s="789">
        <f t="shared" si="15"/>
        <v>146580.35326027399</v>
      </c>
      <c r="O83" s="789">
        <f t="shared" si="19"/>
        <v>-2.4499999999999886</v>
      </c>
      <c r="P83" s="789">
        <f t="shared" si="17"/>
        <v>-42139.999999999804</v>
      </c>
      <c r="Q83" s="789">
        <f t="shared" si="18"/>
        <v>104440.35326027419</v>
      </c>
      <c r="R83" s="800">
        <v>281.39999999999998</v>
      </c>
      <c r="S83" s="801" t="s">
        <v>340</v>
      </c>
    </row>
    <row r="84" spans="1:19" s="616" customFormat="1" hidden="1" x14ac:dyDescent="0.3">
      <c r="A84" s="744" t="s">
        <v>207</v>
      </c>
      <c r="B84" s="614"/>
      <c r="C84" s="753">
        <f>+E84-D84</f>
        <v>45658</v>
      </c>
      <c r="D84" s="614">
        <v>90</v>
      </c>
      <c r="E84" s="753">
        <v>45748</v>
      </c>
      <c r="F84" s="692">
        <v>16770</v>
      </c>
      <c r="G84" s="692">
        <f t="shared" si="20"/>
        <v>4676314.5</v>
      </c>
      <c r="H84" s="760">
        <v>278.85000000000002</v>
      </c>
      <c r="I84" s="614">
        <v>90</v>
      </c>
      <c r="J84" s="694"/>
      <c r="K84" s="694"/>
      <c r="L84" s="615">
        <f>G84*P230/36500</f>
        <v>1619.414117260274</v>
      </c>
      <c r="M84" s="615">
        <f t="shared" si="14"/>
        <v>145747.27055342466</v>
      </c>
      <c r="N84" s="615">
        <f t="shared" si="15"/>
        <v>145747.27055342466</v>
      </c>
      <c r="O84" s="615">
        <f t="shared" si="19"/>
        <v>-2.1499999999999773</v>
      </c>
      <c r="P84" s="615">
        <f t="shared" si="17"/>
        <v>-36055.499999999622</v>
      </c>
      <c r="Q84" s="615">
        <f t="shared" si="18"/>
        <v>109691.77055342504</v>
      </c>
      <c r="R84" s="790">
        <v>281</v>
      </c>
      <c r="S84" s="750" t="s">
        <v>340</v>
      </c>
    </row>
    <row r="85" spans="1:19" s="613" customFormat="1" hidden="1" x14ac:dyDescent="0.3">
      <c r="A85" s="744" t="s">
        <v>327</v>
      </c>
      <c r="B85" s="614"/>
      <c r="C85" s="753">
        <f t="shared" ref="C85:C93" si="21">E85-D85</f>
        <v>45680</v>
      </c>
      <c r="D85" s="614">
        <v>90</v>
      </c>
      <c r="E85" s="753">
        <v>45770</v>
      </c>
      <c r="F85" s="692">
        <v>112970</v>
      </c>
      <c r="G85" s="692">
        <f t="shared" si="20"/>
        <v>31546872.5</v>
      </c>
      <c r="H85" s="760">
        <v>279.25</v>
      </c>
      <c r="I85" s="614">
        <v>90</v>
      </c>
      <c r="J85" s="808"/>
      <c r="K85" s="808"/>
      <c r="L85" s="615">
        <f>G85*P232/36500</f>
        <v>11175.371545890412</v>
      </c>
      <c r="M85" s="615">
        <f>L85*I85</f>
        <v>1005783.4391301371</v>
      </c>
      <c r="N85" s="615">
        <f>M85-K85</f>
        <v>1005783.4391301371</v>
      </c>
      <c r="O85" s="615">
        <f t="shared" si="19"/>
        <v>-2.6000000000000227</v>
      </c>
      <c r="P85" s="615">
        <f>O85*F85</f>
        <v>-293722.00000000256</v>
      </c>
      <c r="Q85" s="615">
        <f>N85+P85</f>
        <v>712061.43913013453</v>
      </c>
      <c r="R85" s="790">
        <v>281.85000000000002</v>
      </c>
      <c r="S85" s="750" t="s">
        <v>339</v>
      </c>
    </row>
    <row r="86" spans="1:19" s="613" customFormat="1" hidden="1" x14ac:dyDescent="0.3">
      <c r="A86" s="744" t="s">
        <v>327</v>
      </c>
      <c r="B86" s="614"/>
      <c r="C86" s="753">
        <f t="shared" si="21"/>
        <v>45679</v>
      </c>
      <c r="D86" s="614">
        <v>90</v>
      </c>
      <c r="E86" s="753">
        <v>45769</v>
      </c>
      <c r="F86" s="692">
        <v>112637.27</v>
      </c>
      <c r="G86" s="692">
        <f t="shared" si="20"/>
        <v>31448325.783999998</v>
      </c>
      <c r="H86" s="760">
        <v>279.2</v>
      </c>
      <c r="I86" s="614">
        <v>90</v>
      </c>
      <c r="J86" s="808"/>
      <c r="K86" s="808"/>
      <c r="L86" s="615">
        <f>G86*P232/36500</f>
        <v>11140.461709236162</v>
      </c>
      <c r="M86" s="615">
        <f>L86*I86</f>
        <v>1002641.5538312546</v>
      </c>
      <c r="N86" s="615">
        <f>M86-K86</f>
        <v>1002641.5538312546</v>
      </c>
      <c r="O86" s="615">
        <f t="shared" si="19"/>
        <v>-2.5500000000000114</v>
      </c>
      <c r="P86" s="615">
        <f>O86*F86</f>
        <v>-287225.0385000013</v>
      </c>
      <c r="Q86" s="615">
        <f>N86+P86</f>
        <v>715416.51533125329</v>
      </c>
      <c r="R86" s="790">
        <v>281.75</v>
      </c>
      <c r="S86" s="750" t="s">
        <v>339</v>
      </c>
    </row>
    <row r="87" spans="1:19" s="613" customFormat="1" hidden="1" x14ac:dyDescent="0.3">
      <c r="A87" s="744" t="s">
        <v>327</v>
      </c>
      <c r="B87" s="614"/>
      <c r="C87" s="753">
        <f t="shared" si="21"/>
        <v>45680</v>
      </c>
      <c r="D87" s="614">
        <v>90</v>
      </c>
      <c r="E87" s="753">
        <v>45770</v>
      </c>
      <c r="F87" s="692">
        <v>112978.69</v>
      </c>
      <c r="G87" s="692">
        <f t="shared" si="20"/>
        <v>31549299.182500001</v>
      </c>
      <c r="H87" s="760">
        <v>279.25</v>
      </c>
      <c r="I87" s="614">
        <v>90</v>
      </c>
      <c r="J87" s="808"/>
      <c r="K87" s="808"/>
      <c r="L87" s="615">
        <f>G87*P232/36500</f>
        <v>11176.23118985548</v>
      </c>
      <c r="M87" s="615">
        <f>L87*I87</f>
        <v>1005860.8070869932</v>
      </c>
      <c r="N87" s="615">
        <f>M87-K87</f>
        <v>1005860.8070869932</v>
      </c>
      <c r="O87" s="615">
        <f t="shared" si="19"/>
        <v>-2.6000000000000227</v>
      </c>
      <c r="P87" s="615">
        <f>O87*F87</f>
        <v>-293744.5940000026</v>
      </c>
      <c r="Q87" s="615">
        <f>N87+P87</f>
        <v>712116.21308699064</v>
      </c>
      <c r="R87" s="790">
        <v>281.85000000000002</v>
      </c>
      <c r="S87" s="750" t="s">
        <v>339</v>
      </c>
    </row>
    <row r="88" spans="1:19" s="616" customFormat="1" hidden="1" x14ac:dyDescent="0.3">
      <c r="A88" s="744" t="s">
        <v>341</v>
      </c>
      <c r="B88" s="614"/>
      <c r="C88" s="753">
        <f t="shared" si="21"/>
        <v>45680</v>
      </c>
      <c r="D88" s="614">
        <v>90</v>
      </c>
      <c r="E88" s="753">
        <v>45770</v>
      </c>
      <c r="F88" s="692">
        <v>47200</v>
      </c>
      <c r="G88" s="692">
        <f t="shared" si="20"/>
        <v>13180600</v>
      </c>
      <c r="H88" s="760">
        <v>279.25</v>
      </c>
      <c r="I88" s="614">
        <v>90</v>
      </c>
      <c r="J88" s="694"/>
      <c r="K88" s="694"/>
      <c r="L88" s="615">
        <f>G88*P235/36500</f>
        <v>4708.9047671232875</v>
      </c>
      <c r="M88" s="615">
        <f>L88*I88</f>
        <v>423801.42904109589</v>
      </c>
      <c r="N88" s="615">
        <f>M88-K88</f>
        <v>423801.42904109589</v>
      </c>
      <c r="O88" s="615">
        <f t="shared" si="19"/>
        <v>-2.3899999999999864</v>
      </c>
      <c r="P88" s="615">
        <f>O88*F88</f>
        <v>-112807.99999999936</v>
      </c>
      <c r="Q88" s="615">
        <f>N88+P88</f>
        <v>310993.42904109653</v>
      </c>
      <c r="R88" s="790">
        <v>281.64</v>
      </c>
      <c r="S88" s="750" t="s">
        <v>339</v>
      </c>
    </row>
    <row r="89" spans="1:19" s="616" customFormat="1" hidden="1" x14ac:dyDescent="0.3">
      <c r="A89" s="744" t="s">
        <v>341</v>
      </c>
      <c r="B89" s="614"/>
      <c r="C89" s="753">
        <f t="shared" si="21"/>
        <v>45685</v>
      </c>
      <c r="D89" s="614">
        <v>90</v>
      </c>
      <c r="E89" s="753">
        <v>45775</v>
      </c>
      <c r="F89" s="692">
        <v>50600</v>
      </c>
      <c r="G89" s="692">
        <f t="shared" si="20"/>
        <v>14127520</v>
      </c>
      <c r="H89" s="760">
        <v>279.2</v>
      </c>
      <c r="I89" s="614">
        <v>90</v>
      </c>
      <c r="J89" s="694"/>
      <c r="K89" s="694"/>
      <c r="L89" s="615">
        <f>G89*P235/36500</f>
        <v>5047.201665753425</v>
      </c>
      <c r="M89" s="615">
        <f t="shared" si="14"/>
        <v>454248.14991780824</v>
      </c>
      <c r="N89" s="615">
        <f t="shared" si="15"/>
        <v>454248.14991780824</v>
      </c>
      <c r="O89" s="615">
        <f t="shared" si="19"/>
        <v>-2.8000000000000114</v>
      </c>
      <c r="P89" s="615">
        <f t="shared" si="17"/>
        <v>-141680.00000000058</v>
      </c>
      <c r="Q89" s="615">
        <f t="shared" si="18"/>
        <v>312568.14991780766</v>
      </c>
      <c r="R89" s="790">
        <v>282</v>
      </c>
      <c r="S89" s="750" t="s">
        <v>339</v>
      </c>
    </row>
    <row r="90" spans="1:19" s="616" customFormat="1" ht="33" hidden="1" customHeight="1" x14ac:dyDescent="0.3">
      <c r="A90" s="744" t="s">
        <v>327</v>
      </c>
      <c r="B90" s="614"/>
      <c r="C90" s="753">
        <f>+E90-D90</f>
        <v>45686</v>
      </c>
      <c r="D90" s="614">
        <v>90</v>
      </c>
      <c r="E90" s="753">
        <v>45776</v>
      </c>
      <c r="F90" s="692">
        <v>439200</v>
      </c>
      <c r="G90" s="692">
        <f t="shared" si="20"/>
        <v>16900416</v>
      </c>
      <c r="H90" s="760">
        <v>38.479999999999997</v>
      </c>
      <c r="I90" s="614">
        <v>90</v>
      </c>
      <c r="J90" s="694"/>
      <c r="K90" s="694"/>
      <c r="L90" s="615">
        <f>G90*P232/36500</f>
        <v>5986.9144898630138</v>
      </c>
      <c r="M90" s="615">
        <f>L90*I90</f>
        <v>538822.30408767122</v>
      </c>
      <c r="N90" s="615">
        <f>M90-K90</f>
        <v>538822.30408767122</v>
      </c>
      <c r="O90" s="615">
        <f t="shared" si="19"/>
        <v>-0.45000000000000284</v>
      </c>
      <c r="P90" s="615">
        <f>O90*F90</f>
        <v>-197640.00000000125</v>
      </c>
      <c r="Q90" s="615">
        <f>N90+P90</f>
        <v>341182.30408766994</v>
      </c>
      <c r="R90" s="790">
        <v>38.93</v>
      </c>
      <c r="S90" s="750" t="s">
        <v>340</v>
      </c>
    </row>
    <row r="91" spans="1:19" s="616" customFormat="1" hidden="1" x14ac:dyDescent="0.3">
      <c r="A91" s="744" t="s">
        <v>66</v>
      </c>
      <c r="B91" s="614"/>
      <c r="C91" s="753">
        <f>+E91-D91</f>
        <v>45719</v>
      </c>
      <c r="D91" s="614">
        <v>60</v>
      </c>
      <c r="E91" s="753">
        <v>45779</v>
      </c>
      <c r="F91" s="812">
        <v>120750</v>
      </c>
      <c r="G91" s="692">
        <f t="shared" si="20"/>
        <v>33822075</v>
      </c>
      <c r="H91" s="760">
        <v>280.10000000000002</v>
      </c>
      <c r="I91" s="614">
        <v>60</v>
      </c>
      <c r="J91" s="694"/>
      <c r="K91" s="694"/>
      <c r="L91" s="615">
        <f>G91*P97/36500</f>
        <v>-133289192.51245527</v>
      </c>
      <c r="M91" s="615">
        <f>L91*I91</f>
        <v>-7997351550.7473164</v>
      </c>
      <c r="N91" s="615">
        <f>M91-K91</f>
        <v>-7997351550.7473164</v>
      </c>
      <c r="O91" s="615">
        <f t="shared" si="19"/>
        <v>-1.6999999999999886</v>
      </c>
      <c r="P91" s="615">
        <f>O91*F91</f>
        <v>-205274.99999999863</v>
      </c>
      <c r="Q91" s="615">
        <f>N91+P91</f>
        <v>-7997556825.7473164</v>
      </c>
      <c r="R91" s="790">
        <v>281.8</v>
      </c>
      <c r="S91" s="750"/>
    </row>
    <row r="92" spans="1:19" s="711" customFormat="1" hidden="1" x14ac:dyDescent="0.3">
      <c r="A92" s="747" t="s">
        <v>341</v>
      </c>
      <c r="B92" s="687"/>
      <c r="C92" s="688">
        <f>E92-D92</f>
        <v>45702</v>
      </c>
      <c r="D92" s="687">
        <v>90</v>
      </c>
      <c r="E92" s="688">
        <v>45792</v>
      </c>
      <c r="F92" s="689">
        <v>101200</v>
      </c>
      <c r="G92" s="689">
        <f t="shared" si="20"/>
        <v>28300579.999999996</v>
      </c>
      <c r="H92" s="761">
        <v>279.64999999999998</v>
      </c>
      <c r="I92" s="687">
        <v>90</v>
      </c>
      <c r="J92" s="690"/>
      <c r="K92" s="690"/>
      <c r="L92" s="691">
        <f>G92*P235/36500</f>
        <v>10110.672964383561</v>
      </c>
      <c r="M92" s="691">
        <f>L92*I92</f>
        <v>909960.56679452048</v>
      </c>
      <c r="N92" s="691">
        <f>M92-K92</f>
        <v>909960.56679452048</v>
      </c>
      <c r="O92" s="691">
        <f t="shared" si="19"/>
        <v>-3.25</v>
      </c>
      <c r="P92" s="691">
        <f>O92*F92</f>
        <v>-328900</v>
      </c>
      <c r="Q92" s="691">
        <f>N92+P92</f>
        <v>581060.56679452048</v>
      </c>
      <c r="R92" s="798">
        <v>282.89999999999998</v>
      </c>
      <c r="S92" s="718" t="s">
        <v>340</v>
      </c>
    </row>
    <row r="93" spans="1:19" s="616" customFormat="1" hidden="1" x14ac:dyDescent="0.3">
      <c r="A93" s="744" t="s">
        <v>341</v>
      </c>
      <c r="B93" s="614"/>
      <c r="C93" s="753">
        <f t="shared" si="21"/>
        <v>45707</v>
      </c>
      <c r="D93" s="614">
        <v>90</v>
      </c>
      <c r="E93" s="753">
        <v>45797</v>
      </c>
      <c r="F93" s="692">
        <v>23600</v>
      </c>
      <c r="G93" s="692">
        <f t="shared" si="20"/>
        <v>6602100</v>
      </c>
      <c r="H93" s="760">
        <v>279.75</v>
      </c>
      <c r="I93" s="614">
        <v>90</v>
      </c>
      <c r="J93" s="694"/>
      <c r="K93" s="694"/>
      <c r="L93" s="615">
        <f>G93*P235/36500</f>
        <v>2358.6680547945207</v>
      </c>
      <c r="M93" s="615">
        <f t="shared" si="14"/>
        <v>212280.12493150687</v>
      </c>
      <c r="N93" s="615">
        <f t="shared" si="15"/>
        <v>212280.12493150687</v>
      </c>
      <c r="O93" s="615">
        <f t="shared" si="19"/>
        <v>-3.25</v>
      </c>
      <c r="P93" s="615">
        <f t="shared" si="17"/>
        <v>-76700</v>
      </c>
      <c r="Q93" s="615">
        <f t="shared" si="18"/>
        <v>135580.12493150687</v>
      </c>
      <c r="R93" s="790">
        <v>283</v>
      </c>
      <c r="S93" s="750" t="s">
        <v>340</v>
      </c>
    </row>
    <row r="94" spans="1:19" s="616" customFormat="1" hidden="1" x14ac:dyDescent="0.3">
      <c r="A94" s="744" t="s">
        <v>66</v>
      </c>
      <c r="B94" s="614"/>
      <c r="C94" s="753">
        <f>E94-D94</f>
        <v>45778</v>
      </c>
      <c r="D94" s="614">
        <v>60</v>
      </c>
      <c r="E94" s="753">
        <v>45838</v>
      </c>
      <c r="F94" s="812">
        <v>120750</v>
      </c>
      <c r="G94" s="692">
        <f t="shared" si="20"/>
        <v>33973012.5</v>
      </c>
      <c r="H94" s="760">
        <v>281.35000000000002</v>
      </c>
      <c r="I94" s="614">
        <v>60</v>
      </c>
      <c r="J94" s="694"/>
      <c r="K94" s="694"/>
      <c r="L94" s="615">
        <f>G94*P227/36500</f>
        <v>11932.438910958905</v>
      </c>
      <c r="M94" s="615">
        <f t="shared" ref="M94:M101" si="22">L94*I94</f>
        <v>715946.33465753426</v>
      </c>
      <c r="N94" s="615">
        <f t="shared" ref="N94:N101" si="23">M94-K94</f>
        <v>715946.33465753426</v>
      </c>
      <c r="O94" s="615">
        <f t="shared" ref="O94:O101" si="24">H94-R94</f>
        <v>-3.1499999999999773</v>
      </c>
      <c r="P94" s="615">
        <f t="shared" ref="P94:P101" si="25">O94*F94</f>
        <v>-380362.49999999726</v>
      </c>
      <c r="Q94" s="615">
        <f t="shared" ref="Q94:Q101" si="26">N94+P94</f>
        <v>335583.83465753699</v>
      </c>
      <c r="R94" s="790">
        <v>284.5</v>
      </c>
      <c r="S94" s="750" t="s">
        <v>339</v>
      </c>
    </row>
    <row r="95" spans="1:19" s="616" customFormat="1" hidden="1" x14ac:dyDescent="0.3">
      <c r="A95" s="744" t="s">
        <v>69</v>
      </c>
      <c r="B95" s="614"/>
      <c r="C95" s="753">
        <v>45764</v>
      </c>
      <c r="D95" s="614">
        <v>90</v>
      </c>
      <c r="E95" s="753">
        <f>+C95+D95</f>
        <v>45854</v>
      </c>
      <c r="F95" s="692">
        <v>52200</v>
      </c>
      <c r="G95" s="692">
        <f t="shared" si="20"/>
        <v>14647320.000000002</v>
      </c>
      <c r="H95" s="760">
        <v>280.60000000000002</v>
      </c>
      <c r="I95" s="614">
        <v>90</v>
      </c>
      <c r="J95" s="694"/>
      <c r="K95" s="694"/>
      <c r="L95" s="615">
        <f>G95*P233/36500</f>
        <v>4988.1147287671238</v>
      </c>
      <c r="M95" s="615">
        <f t="shared" si="22"/>
        <v>448930.32558904117</v>
      </c>
      <c r="N95" s="615">
        <f t="shared" si="23"/>
        <v>448930.32558904117</v>
      </c>
      <c r="O95" s="615">
        <f t="shared" si="24"/>
        <v>-6.0999999999999659</v>
      </c>
      <c r="P95" s="615">
        <f t="shared" si="25"/>
        <v>-318419.9999999982</v>
      </c>
      <c r="Q95" s="615">
        <f t="shared" si="26"/>
        <v>130510.32558904297</v>
      </c>
      <c r="R95" s="790">
        <v>286.7</v>
      </c>
      <c r="S95" s="750" t="s">
        <v>340</v>
      </c>
    </row>
    <row r="96" spans="1:19" s="711" customFormat="1" hidden="1" x14ac:dyDescent="0.3">
      <c r="A96" s="747" t="s">
        <v>69</v>
      </c>
      <c r="B96" s="687"/>
      <c r="C96" s="688">
        <f t="shared" ref="C96:C101" si="27">E96-D96</f>
        <v>45783</v>
      </c>
      <c r="D96" s="687">
        <v>90</v>
      </c>
      <c r="E96" s="688">
        <v>45873</v>
      </c>
      <c r="F96" s="823">
        <v>407497.65</v>
      </c>
      <c r="G96" s="689">
        <f t="shared" si="20"/>
        <v>114690213.5925</v>
      </c>
      <c r="H96" s="761">
        <v>281.45</v>
      </c>
      <c r="I96" s="687">
        <v>90</v>
      </c>
      <c r="J96" s="690"/>
      <c r="K96" s="690"/>
      <c r="L96" s="691">
        <f>G96*P233/36500</f>
        <v>39057.516574103429</v>
      </c>
      <c r="M96" s="691">
        <f t="shared" si="22"/>
        <v>3515176.4916693084</v>
      </c>
      <c r="N96" s="691">
        <f t="shared" si="23"/>
        <v>3515176.4916693084</v>
      </c>
      <c r="O96" s="691">
        <f t="shared" si="24"/>
        <v>-2.8500000000000227</v>
      </c>
      <c r="P96" s="691">
        <f t="shared" si="25"/>
        <v>-1161368.3025000093</v>
      </c>
      <c r="Q96" s="691">
        <f t="shared" si="26"/>
        <v>2353808.1891692989</v>
      </c>
      <c r="R96" s="798">
        <v>284.3</v>
      </c>
      <c r="S96" s="718" t="s">
        <v>339</v>
      </c>
    </row>
    <row r="97" spans="1:19" s="711" customFormat="1" hidden="1" x14ac:dyDescent="0.3">
      <c r="A97" s="747" t="s">
        <v>91</v>
      </c>
      <c r="B97" s="687"/>
      <c r="C97" s="688">
        <f t="shared" si="27"/>
        <v>45814</v>
      </c>
      <c r="D97" s="687">
        <v>60</v>
      </c>
      <c r="E97" s="688">
        <v>45874</v>
      </c>
      <c r="F97" s="823">
        <v>125080.53</v>
      </c>
      <c r="G97" s="689">
        <f t="shared" si="20"/>
        <v>35347757.778000005</v>
      </c>
      <c r="H97" s="761">
        <v>282.60000000000002</v>
      </c>
      <c r="I97" s="687">
        <v>60</v>
      </c>
      <c r="J97" s="690"/>
      <c r="K97" s="690"/>
      <c r="L97" s="691">
        <f>G97*P234/36500</f>
        <v>11931.078789724934</v>
      </c>
      <c r="M97" s="691">
        <f t="shared" si="22"/>
        <v>715864.72738349601</v>
      </c>
      <c r="N97" s="691">
        <f t="shared" si="23"/>
        <v>715864.72738349601</v>
      </c>
      <c r="O97" s="691">
        <f t="shared" si="24"/>
        <v>-1.1499999999999773</v>
      </c>
      <c r="P97" s="691">
        <f t="shared" si="25"/>
        <v>-143842.60949999717</v>
      </c>
      <c r="Q97" s="691">
        <f t="shared" si="26"/>
        <v>572022.11788349878</v>
      </c>
      <c r="R97" s="798">
        <v>283.75</v>
      </c>
      <c r="S97" s="718" t="s">
        <v>339</v>
      </c>
    </row>
    <row r="98" spans="1:19" s="711" customFormat="1" hidden="1" x14ac:dyDescent="0.3">
      <c r="A98" s="747" t="s">
        <v>91</v>
      </c>
      <c r="B98" s="687"/>
      <c r="C98" s="688">
        <f t="shared" si="27"/>
        <v>45814</v>
      </c>
      <c r="D98" s="687">
        <v>60</v>
      </c>
      <c r="E98" s="688">
        <v>45874</v>
      </c>
      <c r="F98" s="823">
        <v>125080.53</v>
      </c>
      <c r="G98" s="689">
        <f t="shared" si="20"/>
        <v>35347757.778000005</v>
      </c>
      <c r="H98" s="761">
        <v>282.60000000000002</v>
      </c>
      <c r="I98" s="687">
        <v>60</v>
      </c>
      <c r="J98" s="690"/>
      <c r="K98" s="690"/>
      <c r="L98" s="691">
        <f>G98*P234/36500</f>
        <v>11931.078789724934</v>
      </c>
      <c r="M98" s="691">
        <f t="shared" si="22"/>
        <v>715864.72738349601</v>
      </c>
      <c r="N98" s="691">
        <f t="shared" si="23"/>
        <v>715864.72738349601</v>
      </c>
      <c r="O98" s="691">
        <f t="shared" si="24"/>
        <v>-1.1499999999999773</v>
      </c>
      <c r="P98" s="691">
        <f t="shared" si="25"/>
        <v>-143842.60949999717</v>
      </c>
      <c r="Q98" s="691">
        <f t="shared" si="26"/>
        <v>572022.11788349878</v>
      </c>
      <c r="R98" s="798">
        <v>283.75</v>
      </c>
      <c r="S98" s="718" t="s">
        <v>339</v>
      </c>
    </row>
    <row r="99" spans="1:19" s="711" customFormat="1" hidden="1" x14ac:dyDescent="0.3">
      <c r="A99" s="747" t="s">
        <v>69</v>
      </c>
      <c r="B99" s="687"/>
      <c r="C99" s="688">
        <f t="shared" si="27"/>
        <v>45814</v>
      </c>
      <c r="D99" s="687">
        <v>60</v>
      </c>
      <c r="E99" s="688">
        <v>45874</v>
      </c>
      <c r="F99" s="689">
        <v>125080.53</v>
      </c>
      <c r="G99" s="689">
        <f t="shared" si="20"/>
        <v>35347757.778000005</v>
      </c>
      <c r="H99" s="761">
        <v>282.60000000000002</v>
      </c>
      <c r="I99" s="687">
        <v>60</v>
      </c>
      <c r="J99" s="690"/>
      <c r="K99" s="690"/>
      <c r="L99" s="691">
        <f>G99*P233/36500</f>
        <v>12037.606278918905</v>
      </c>
      <c r="M99" s="691">
        <f t="shared" si="22"/>
        <v>722256.37673513428</v>
      </c>
      <c r="N99" s="691">
        <f t="shared" si="23"/>
        <v>722256.37673513428</v>
      </c>
      <c r="O99" s="691">
        <f t="shared" si="24"/>
        <v>-1.5999999999999659</v>
      </c>
      <c r="P99" s="691">
        <f t="shared" si="25"/>
        <v>-200128.84799999572</v>
      </c>
      <c r="Q99" s="691">
        <f t="shared" si="26"/>
        <v>522127.52873513859</v>
      </c>
      <c r="R99" s="798">
        <v>284.2</v>
      </c>
      <c r="S99" s="718" t="s">
        <v>362</v>
      </c>
    </row>
    <row r="100" spans="1:19" s="616" customFormat="1" hidden="1" x14ac:dyDescent="0.3">
      <c r="A100" s="744" t="s">
        <v>338</v>
      </c>
      <c r="B100" s="614"/>
      <c r="C100" s="753">
        <f t="shared" si="27"/>
        <v>45814</v>
      </c>
      <c r="D100" s="614">
        <v>60</v>
      </c>
      <c r="E100" s="753">
        <v>45874</v>
      </c>
      <c r="F100" s="812">
        <v>125080.53</v>
      </c>
      <c r="G100" s="692">
        <f t="shared" si="20"/>
        <v>35347757.778000005</v>
      </c>
      <c r="H100" s="760">
        <v>282.60000000000002</v>
      </c>
      <c r="I100" s="614">
        <v>60</v>
      </c>
      <c r="J100" s="694"/>
      <c r="K100" s="694"/>
      <c r="L100" s="615">
        <f>G100*P228/36500</f>
        <v>12240.976940107399</v>
      </c>
      <c r="M100" s="615">
        <f t="shared" si="22"/>
        <v>734458.61640644399</v>
      </c>
      <c r="N100" s="615">
        <f t="shared" si="23"/>
        <v>734458.61640644399</v>
      </c>
      <c r="O100" s="615">
        <f t="shared" si="24"/>
        <v>-1.3999999999999773</v>
      </c>
      <c r="P100" s="615">
        <f t="shared" si="25"/>
        <v>-175112.74199999715</v>
      </c>
      <c r="Q100" s="615">
        <f t="shared" si="26"/>
        <v>559345.87440644682</v>
      </c>
      <c r="R100" s="790">
        <v>284</v>
      </c>
      <c r="S100" s="750" t="s">
        <v>362</v>
      </c>
    </row>
    <row r="101" spans="1:19" s="616" customFormat="1" hidden="1" x14ac:dyDescent="0.3">
      <c r="A101" s="744" t="s">
        <v>338</v>
      </c>
      <c r="B101" s="614"/>
      <c r="C101" s="753">
        <f t="shared" si="27"/>
        <v>45814</v>
      </c>
      <c r="D101" s="614">
        <v>60</v>
      </c>
      <c r="E101" s="753">
        <v>45874</v>
      </c>
      <c r="F101" s="812">
        <v>208467.29</v>
      </c>
      <c r="G101" s="692">
        <f t="shared" si="20"/>
        <v>58912856.154000007</v>
      </c>
      <c r="H101" s="760">
        <v>282.60000000000002</v>
      </c>
      <c r="I101" s="614">
        <v>60</v>
      </c>
      <c r="J101" s="694"/>
      <c r="K101" s="694"/>
      <c r="L101" s="615">
        <f>G101*P229/36500</f>
        <v>20466.164822814248</v>
      </c>
      <c r="M101" s="615">
        <f t="shared" si="22"/>
        <v>1227969.8893688549</v>
      </c>
      <c r="N101" s="615">
        <f t="shared" si="23"/>
        <v>1227969.8893688549</v>
      </c>
      <c r="O101" s="615">
        <f t="shared" si="24"/>
        <v>-1.3999999999999773</v>
      </c>
      <c r="P101" s="615">
        <f t="shared" si="25"/>
        <v>-291854.20599999529</v>
      </c>
      <c r="Q101" s="615">
        <f t="shared" si="26"/>
        <v>936115.68336885958</v>
      </c>
      <c r="R101" s="790">
        <v>284</v>
      </c>
      <c r="S101" s="750" t="s">
        <v>362</v>
      </c>
    </row>
    <row r="102" spans="1:19" s="711" customFormat="1" hidden="1" x14ac:dyDescent="0.3">
      <c r="A102" s="747" t="s">
        <v>66</v>
      </c>
      <c r="B102" s="687"/>
      <c r="C102" s="688">
        <f t="shared" ref="C102:C107" si="28">E102-D102</f>
        <v>45799</v>
      </c>
      <c r="D102" s="687">
        <v>90</v>
      </c>
      <c r="E102" s="688">
        <v>45889</v>
      </c>
      <c r="F102" s="823">
        <v>50760</v>
      </c>
      <c r="G102" s="689">
        <f t="shared" ref="G102:G107" si="29">F102*H102</f>
        <v>14332086.000000002</v>
      </c>
      <c r="H102" s="761">
        <v>282.35000000000002</v>
      </c>
      <c r="I102" s="687">
        <v>90</v>
      </c>
      <c r="J102" s="690"/>
      <c r="K102" s="690"/>
      <c r="L102" s="691">
        <f>G102*P227/36500</f>
        <v>5033.8997950684943</v>
      </c>
      <c r="M102" s="691">
        <f t="shared" ref="M102:M107" si="30">L102*I102</f>
        <v>453050.98155616451</v>
      </c>
      <c r="N102" s="691">
        <f t="shared" ref="N102:N107" si="31">M102-K102</f>
        <v>453050.98155616451</v>
      </c>
      <c r="O102" s="691">
        <f t="shared" ref="O102:O107" si="32">H102-R102</f>
        <v>-0.54999999999995453</v>
      </c>
      <c r="P102" s="691">
        <f t="shared" ref="P102:P107" si="33">O102*F102</f>
        <v>-27917.999999997694</v>
      </c>
      <c r="Q102" s="691">
        <f t="shared" ref="Q102:Q107" si="34">N102+P102</f>
        <v>425132.98155616684</v>
      </c>
      <c r="R102" s="798">
        <v>282.89999999999998</v>
      </c>
      <c r="S102" s="718" t="s">
        <v>362</v>
      </c>
    </row>
    <row r="103" spans="1:19" s="711" customFormat="1" hidden="1" x14ac:dyDescent="0.3">
      <c r="A103" s="747" t="s">
        <v>66</v>
      </c>
      <c r="B103" s="687"/>
      <c r="C103" s="688">
        <f t="shared" si="28"/>
        <v>45804</v>
      </c>
      <c r="D103" s="687">
        <v>90</v>
      </c>
      <c r="E103" s="688">
        <v>45894</v>
      </c>
      <c r="F103" s="823">
        <v>105600</v>
      </c>
      <c r="G103" s="689">
        <f t="shared" si="29"/>
        <v>29826720</v>
      </c>
      <c r="H103" s="761">
        <v>282.45</v>
      </c>
      <c r="I103" s="687">
        <v>90</v>
      </c>
      <c r="J103" s="690"/>
      <c r="K103" s="690"/>
      <c r="L103" s="691">
        <f>G103*P227/36500</f>
        <v>10476.124668493152</v>
      </c>
      <c r="M103" s="691">
        <f t="shared" si="30"/>
        <v>942851.22016438365</v>
      </c>
      <c r="N103" s="691">
        <f t="shared" si="31"/>
        <v>942851.22016438365</v>
      </c>
      <c r="O103" s="691">
        <f t="shared" si="32"/>
        <v>-0.55000000000001137</v>
      </c>
      <c r="P103" s="691">
        <f t="shared" si="33"/>
        <v>-58080.000000001201</v>
      </c>
      <c r="Q103" s="691">
        <f t="shared" si="34"/>
        <v>884771.22016438248</v>
      </c>
      <c r="R103" s="798">
        <v>283</v>
      </c>
      <c r="S103" s="718" t="s">
        <v>362</v>
      </c>
    </row>
    <row r="104" spans="1:19" s="711" customFormat="1" hidden="1" x14ac:dyDescent="0.3">
      <c r="A104" s="747" t="s">
        <v>206</v>
      </c>
      <c r="B104" s="687"/>
      <c r="C104" s="688">
        <f t="shared" si="28"/>
        <v>45806</v>
      </c>
      <c r="D104" s="687">
        <v>90</v>
      </c>
      <c r="E104" s="688">
        <v>45896</v>
      </c>
      <c r="F104" s="823">
        <v>12650</v>
      </c>
      <c r="G104" s="689">
        <f t="shared" si="29"/>
        <v>3574257.5</v>
      </c>
      <c r="H104" s="761">
        <v>282.55</v>
      </c>
      <c r="I104" s="687">
        <v>90</v>
      </c>
      <c r="J104" s="690"/>
      <c r="K104" s="690"/>
      <c r="L104" s="691">
        <f>G104*P225/36500</f>
        <v>1270.0854732876714</v>
      </c>
      <c r="M104" s="691">
        <f t="shared" si="30"/>
        <v>114307.69259589043</v>
      </c>
      <c r="N104" s="691">
        <f t="shared" si="31"/>
        <v>114307.69259589043</v>
      </c>
      <c r="O104" s="691">
        <f t="shared" si="32"/>
        <v>0.19999999999998863</v>
      </c>
      <c r="P104" s="691">
        <f t="shared" si="33"/>
        <v>2529.9999999998563</v>
      </c>
      <c r="Q104" s="691">
        <f t="shared" si="34"/>
        <v>116837.69259589029</v>
      </c>
      <c r="R104" s="798">
        <v>282.35000000000002</v>
      </c>
      <c r="S104" s="718" t="s">
        <v>362</v>
      </c>
    </row>
    <row r="105" spans="1:19" s="711" customFormat="1" hidden="1" x14ac:dyDescent="0.3">
      <c r="A105" s="747" t="s">
        <v>206</v>
      </c>
      <c r="B105" s="687"/>
      <c r="C105" s="688">
        <f t="shared" si="28"/>
        <v>45812</v>
      </c>
      <c r="D105" s="687">
        <v>90</v>
      </c>
      <c r="E105" s="688">
        <v>45902</v>
      </c>
      <c r="F105" s="823">
        <v>6240</v>
      </c>
      <c r="G105" s="689">
        <f t="shared" si="29"/>
        <v>1762800</v>
      </c>
      <c r="H105" s="761">
        <v>282.5</v>
      </c>
      <c r="I105" s="687">
        <v>90</v>
      </c>
      <c r="J105" s="690"/>
      <c r="K105" s="690"/>
      <c r="L105" s="691">
        <f>G105*P225/36500</f>
        <v>626.39769863013703</v>
      </c>
      <c r="M105" s="691">
        <f t="shared" si="30"/>
        <v>56375.79287671233</v>
      </c>
      <c r="N105" s="691">
        <f t="shared" si="31"/>
        <v>56375.79287671233</v>
      </c>
      <c r="O105" s="691">
        <f t="shared" si="32"/>
        <v>0.10000000000002274</v>
      </c>
      <c r="P105" s="691">
        <f t="shared" si="33"/>
        <v>624.00000000014188</v>
      </c>
      <c r="Q105" s="691">
        <f t="shared" si="34"/>
        <v>56999.792876712469</v>
      </c>
      <c r="R105" s="798">
        <v>282.39999999999998</v>
      </c>
      <c r="S105" s="718" t="s">
        <v>362</v>
      </c>
    </row>
    <row r="106" spans="1:19" s="711" customFormat="1" hidden="1" x14ac:dyDescent="0.3">
      <c r="A106" s="747" t="s">
        <v>205</v>
      </c>
      <c r="B106" s="687"/>
      <c r="C106" s="688">
        <f t="shared" si="28"/>
        <v>45814</v>
      </c>
      <c r="D106" s="687">
        <v>90</v>
      </c>
      <c r="E106" s="688">
        <v>45904</v>
      </c>
      <c r="F106" s="823">
        <v>103550</v>
      </c>
      <c r="G106" s="689">
        <f t="shared" si="29"/>
        <v>29263230.000000004</v>
      </c>
      <c r="H106" s="761">
        <v>282.60000000000002</v>
      </c>
      <c r="I106" s="687">
        <v>90</v>
      </c>
      <c r="J106" s="690"/>
      <c r="K106" s="690"/>
      <c r="L106" s="691">
        <f>G106*P229/36500</f>
        <v>10165.965928767124</v>
      </c>
      <c r="M106" s="691">
        <f t="shared" si="30"/>
        <v>914936.93358904112</v>
      </c>
      <c r="N106" s="691">
        <f t="shared" si="31"/>
        <v>914936.93358904112</v>
      </c>
      <c r="O106" s="691">
        <f t="shared" si="32"/>
        <v>-0.79999999999995453</v>
      </c>
      <c r="P106" s="691">
        <f t="shared" si="33"/>
        <v>-82839.999999995285</v>
      </c>
      <c r="Q106" s="691">
        <f t="shared" si="34"/>
        <v>832096.93358904589</v>
      </c>
      <c r="R106" s="798">
        <v>283.39999999999998</v>
      </c>
      <c r="S106" s="718" t="s">
        <v>362</v>
      </c>
    </row>
    <row r="107" spans="1:19" s="711" customFormat="1" hidden="1" x14ac:dyDescent="0.3">
      <c r="A107" s="747" t="s">
        <v>91</v>
      </c>
      <c r="B107" s="687"/>
      <c r="C107" s="688">
        <f t="shared" si="28"/>
        <v>45813</v>
      </c>
      <c r="D107" s="687">
        <v>90</v>
      </c>
      <c r="E107" s="688">
        <v>45903</v>
      </c>
      <c r="F107" s="823">
        <v>50040</v>
      </c>
      <c r="G107" s="689">
        <f t="shared" si="29"/>
        <v>14141304.000000002</v>
      </c>
      <c r="H107" s="761">
        <v>282.60000000000002</v>
      </c>
      <c r="I107" s="687">
        <v>90</v>
      </c>
      <c r="J107" s="690"/>
      <c r="K107" s="690"/>
      <c r="L107" s="691">
        <f>G107*P234/36500</f>
        <v>4773.1743912328775</v>
      </c>
      <c r="M107" s="691">
        <f t="shared" si="30"/>
        <v>429585.69521095895</v>
      </c>
      <c r="N107" s="691">
        <f t="shared" si="31"/>
        <v>429585.69521095895</v>
      </c>
      <c r="O107" s="691">
        <f t="shared" si="32"/>
        <v>-0.39999999999997726</v>
      </c>
      <c r="P107" s="691">
        <f t="shared" si="33"/>
        <v>-20015.999999998861</v>
      </c>
      <c r="Q107" s="691">
        <f t="shared" si="34"/>
        <v>409569.69521096011</v>
      </c>
      <c r="R107" s="798">
        <v>283</v>
      </c>
      <c r="S107" s="718" t="s">
        <v>363</v>
      </c>
    </row>
    <row r="108" spans="1:19" s="711" customFormat="1" hidden="1" x14ac:dyDescent="0.3">
      <c r="A108" s="747" t="s">
        <v>205</v>
      </c>
      <c r="B108" s="687"/>
      <c r="C108" s="688">
        <f>E108-D108</f>
        <v>45839</v>
      </c>
      <c r="D108" s="687">
        <v>90</v>
      </c>
      <c r="E108" s="688">
        <v>45929</v>
      </c>
      <c r="F108" s="823">
        <v>48480</v>
      </c>
      <c r="G108" s="689">
        <f t="shared" ref="G108:G115" si="35">F108*H108</f>
        <v>13775591.999999998</v>
      </c>
      <c r="H108" s="761">
        <v>284.14999999999998</v>
      </c>
      <c r="I108" s="687">
        <v>90</v>
      </c>
      <c r="J108" s="690"/>
      <c r="K108" s="690"/>
      <c r="L108" s="691">
        <f>G108*P229/36500</f>
        <v>4785.6029194520543</v>
      </c>
      <c r="M108" s="691">
        <f t="shared" ref="M108:M115" si="36">L108*I108</f>
        <v>430704.26275068487</v>
      </c>
      <c r="N108" s="691">
        <f t="shared" ref="N108:N115" si="37">M108-K108</f>
        <v>430704.26275068487</v>
      </c>
      <c r="O108" s="691">
        <f t="shared" ref="O108:O122" si="38">H108-R108</f>
        <v>1.1499999999999773</v>
      </c>
      <c r="P108" s="691">
        <f t="shared" ref="P108:P115" si="39">O108*F108</f>
        <v>55751.999999998894</v>
      </c>
      <c r="Q108" s="691">
        <f t="shared" ref="Q108:Q115" si="40">N108+P108</f>
        <v>486456.26275068376</v>
      </c>
      <c r="R108" s="798">
        <v>283</v>
      </c>
      <c r="S108" s="718" t="s">
        <v>360</v>
      </c>
    </row>
    <row r="109" spans="1:19" s="711" customFormat="1" hidden="1" x14ac:dyDescent="0.3">
      <c r="A109" s="747" t="s">
        <v>66</v>
      </c>
      <c r="B109" s="687"/>
      <c r="C109" s="688">
        <f>E109-D109</f>
        <v>45876</v>
      </c>
      <c r="D109" s="687">
        <v>60</v>
      </c>
      <c r="E109" s="688">
        <v>45936</v>
      </c>
      <c r="F109" s="823">
        <v>195953.16</v>
      </c>
      <c r="G109" s="689">
        <f t="shared" si="35"/>
        <v>55464541.938000001</v>
      </c>
      <c r="H109" s="761">
        <v>283.05</v>
      </c>
      <c r="I109" s="687">
        <v>60</v>
      </c>
      <c r="J109" s="690"/>
      <c r="K109" s="690"/>
      <c r="L109" s="691">
        <f>G109*P227/36500</f>
        <v>19480.970620415344</v>
      </c>
      <c r="M109" s="691">
        <f t="shared" si="36"/>
        <v>1168858.2372249207</v>
      </c>
      <c r="N109" s="691">
        <f t="shared" si="37"/>
        <v>1168858.2372249207</v>
      </c>
      <c r="O109" s="691">
        <f t="shared" si="38"/>
        <v>0.55000000000001137</v>
      </c>
      <c r="P109" s="691">
        <f t="shared" si="39"/>
        <v>107774.23800000222</v>
      </c>
      <c r="Q109" s="691">
        <f t="shared" si="40"/>
        <v>1276632.4752249229</v>
      </c>
      <c r="R109" s="798">
        <v>282.5</v>
      </c>
      <c r="S109" s="718" t="s">
        <v>363</v>
      </c>
    </row>
    <row r="110" spans="1:19" s="711" customFormat="1" hidden="1" x14ac:dyDescent="0.3">
      <c r="A110" s="747" t="s">
        <v>66</v>
      </c>
      <c r="B110" s="687"/>
      <c r="C110" s="688">
        <f>E110-D110</f>
        <v>45853</v>
      </c>
      <c r="D110" s="687">
        <v>90</v>
      </c>
      <c r="E110" s="688">
        <v>45943</v>
      </c>
      <c r="F110" s="823">
        <v>66586</v>
      </c>
      <c r="G110" s="689">
        <f t="shared" si="35"/>
        <v>18950375.600000001</v>
      </c>
      <c r="H110" s="761">
        <v>284.60000000000002</v>
      </c>
      <c r="I110" s="687">
        <v>90</v>
      </c>
      <c r="J110" s="690"/>
      <c r="K110" s="690"/>
      <c r="L110" s="691">
        <f>G110*P227/36500</f>
        <v>6655.9949367671243</v>
      </c>
      <c r="M110" s="691">
        <f t="shared" si="36"/>
        <v>599039.54430904123</v>
      </c>
      <c r="N110" s="691">
        <f t="shared" si="37"/>
        <v>599039.54430904123</v>
      </c>
      <c r="O110" s="691">
        <f t="shared" si="38"/>
        <v>2.3000000000000114</v>
      </c>
      <c r="P110" s="691">
        <f t="shared" si="39"/>
        <v>153147.80000000075</v>
      </c>
      <c r="Q110" s="691">
        <f t="shared" si="40"/>
        <v>752187.34430904198</v>
      </c>
      <c r="R110" s="798">
        <v>282.3</v>
      </c>
      <c r="S110" s="718" t="s">
        <v>362</v>
      </c>
    </row>
    <row r="111" spans="1:19" s="711" customFormat="1" hidden="1" x14ac:dyDescent="0.3">
      <c r="A111" s="747" t="s">
        <v>66</v>
      </c>
      <c r="B111" s="687"/>
      <c r="C111" s="688">
        <f>E111-D111</f>
        <v>45860</v>
      </c>
      <c r="D111" s="687">
        <v>90</v>
      </c>
      <c r="E111" s="688">
        <v>45950</v>
      </c>
      <c r="F111" s="823">
        <v>63459.5</v>
      </c>
      <c r="G111" s="689">
        <f t="shared" si="35"/>
        <v>18107533.729999997</v>
      </c>
      <c r="H111" s="761">
        <v>285.33999999999997</v>
      </c>
      <c r="I111" s="687">
        <v>90</v>
      </c>
      <c r="J111" s="690"/>
      <c r="K111" s="690"/>
      <c r="L111" s="691">
        <f>G111*P227/36500</f>
        <v>6359.9611621534241</v>
      </c>
      <c r="M111" s="691">
        <f t="shared" si="36"/>
        <v>572396.5045938082</v>
      </c>
      <c r="N111" s="691">
        <f t="shared" si="37"/>
        <v>572396.5045938082</v>
      </c>
      <c r="O111" s="691">
        <f t="shared" si="38"/>
        <v>2.839999999999975</v>
      </c>
      <c r="P111" s="691">
        <f t="shared" si="39"/>
        <v>180224.97999999841</v>
      </c>
      <c r="Q111" s="691">
        <f t="shared" si="40"/>
        <v>752621.48459380656</v>
      </c>
      <c r="R111" s="798">
        <v>282.5</v>
      </c>
      <c r="S111" s="718" t="s">
        <v>360</v>
      </c>
    </row>
    <row r="112" spans="1:19" s="711" customFormat="1" hidden="1" x14ac:dyDescent="0.3">
      <c r="A112" s="747" t="s">
        <v>327</v>
      </c>
      <c r="B112" s="687"/>
      <c r="C112" s="688">
        <f>E112-D112</f>
        <v>45860</v>
      </c>
      <c r="D112" s="687">
        <v>90</v>
      </c>
      <c r="E112" s="688">
        <v>45950</v>
      </c>
      <c r="F112" s="823">
        <v>56175</v>
      </c>
      <c r="G112" s="689">
        <f t="shared" si="35"/>
        <v>16029536.250000002</v>
      </c>
      <c r="H112" s="761">
        <v>285.35000000000002</v>
      </c>
      <c r="I112" s="687">
        <v>90</v>
      </c>
      <c r="J112" s="690"/>
      <c r="K112" s="690"/>
      <c r="L112" s="691">
        <f>G112*P232/36500</f>
        <v>5678.4083208904112</v>
      </c>
      <c r="M112" s="691">
        <f t="shared" si="36"/>
        <v>511056.74888013699</v>
      </c>
      <c r="N112" s="691">
        <f t="shared" si="37"/>
        <v>511056.74888013699</v>
      </c>
      <c r="O112" s="691">
        <f t="shared" si="38"/>
        <v>2.7000000000000455</v>
      </c>
      <c r="P112" s="691">
        <f t="shared" si="39"/>
        <v>151672.50000000256</v>
      </c>
      <c r="Q112" s="691">
        <f t="shared" si="40"/>
        <v>662729.24888013955</v>
      </c>
      <c r="R112" s="798">
        <v>282.64999999999998</v>
      </c>
      <c r="S112" s="718" t="s">
        <v>360</v>
      </c>
    </row>
    <row r="113" spans="1:19" s="711" customFormat="1" hidden="1" x14ac:dyDescent="0.3">
      <c r="A113" s="747" t="s">
        <v>327</v>
      </c>
      <c r="B113" s="687"/>
      <c r="C113" s="688">
        <f t="shared" ref="C113:C118" si="41">E113-D113</f>
        <v>45862</v>
      </c>
      <c r="D113" s="687">
        <v>90</v>
      </c>
      <c r="E113" s="688">
        <v>45952</v>
      </c>
      <c r="F113" s="823">
        <v>50256</v>
      </c>
      <c r="G113" s="689">
        <f t="shared" si="35"/>
        <v>14330498.399999999</v>
      </c>
      <c r="H113" s="761">
        <v>285.14999999999998</v>
      </c>
      <c r="I113" s="687">
        <v>90</v>
      </c>
      <c r="J113" s="690"/>
      <c r="K113" s="690"/>
      <c r="L113" s="691">
        <f>G113*P232/36500</f>
        <v>5076.5299811506839</v>
      </c>
      <c r="M113" s="691">
        <f t="shared" si="36"/>
        <v>456887.69830356154</v>
      </c>
      <c r="N113" s="691">
        <f t="shared" si="37"/>
        <v>456887.69830356154</v>
      </c>
      <c r="O113" s="691">
        <f t="shared" si="38"/>
        <v>2.75</v>
      </c>
      <c r="P113" s="691">
        <f t="shared" si="39"/>
        <v>138204</v>
      </c>
      <c r="Q113" s="691">
        <f t="shared" si="40"/>
        <v>595091.69830356154</v>
      </c>
      <c r="R113" s="798">
        <v>282.39999999999998</v>
      </c>
      <c r="S113" s="718" t="s">
        <v>362</v>
      </c>
    </row>
    <row r="114" spans="1:19" s="711" customFormat="1" hidden="1" x14ac:dyDescent="0.3">
      <c r="A114" s="747" t="s">
        <v>66</v>
      </c>
      <c r="B114" s="687"/>
      <c r="C114" s="688">
        <f t="shared" si="41"/>
        <v>45867</v>
      </c>
      <c r="D114" s="687">
        <v>90</v>
      </c>
      <c r="E114" s="688">
        <v>45957</v>
      </c>
      <c r="F114" s="823">
        <v>63239.8</v>
      </c>
      <c r="G114" s="689">
        <f t="shared" si="35"/>
        <v>18044844.531999998</v>
      </c>
      <c r="H114" s="761">
        <v>285.33999999999997</v>
      </c>
      <c r="I114" s="687">
        <v>90</v>
      </c>
      <c r="J114" s="690"/>
      <c r="K114" s="690"/>
      <c r="L114" s="691">
        <f>G114*P227/36500</f>
        <v>6337.9426548010952</v>
      </c>
      <c r="M114" s="691">
        <f t="shared" si="36"/>
        <v>570414.83893209859</v>
      </c>
      <c r="N114" s="691">
        <f t="shared" si="37"/>
        <v>570414.83893209859</v>
      </c>
      <c r="O114" s="691">
        <f t="shared" si="38"/>
        <v>3.339999999999975</v>
      </c>
      <c r="P114" s="691">
        <f t="shared" si="39"/>
        <v>211220.93199999843</v>
      </c>
      <c r="Q114" s="691">
        <f t="shared" si="40"/>
        <v>781635.77093209699</v>
      </c>
      <c r="R114" s="798">
        <v>282</v>
      </c>
      <c r="S114" s="718" t="s">
        <v>362</v>
      </c>
    </row>
    <row r="115" spans="1:19" s="711" customFormat="1" hidden="1" x14ac:dyDescent="0.3">
      <c r="A115" s="747" t="s">
        <v>206</v>
      </c>
      <c r="B115" s="687"/>
      <c r="C115" s="688">
        <f t="shared" si="41"/>
        <v>45857</v>
      </c>
      <c r="D115" s="687">
        <v>90</v>
      </c>
      <c r="E115" s="688">
        <v>45947</v>
      </c>
      <c r="F115" s="823">
        <v>18000</v>
      </c>
      <c r="G115" s="689">
        <f t="shared" si="35"/>
        <v>5136300</v>
      </c>
      <c r="H115" s="761">
        <v>285.35000000000002</v>
      </c>
      <c r="I115" s="687">
        <v>90</v>
      </c>
      <c r="J115" s="690"/>
      <c r="K115" s="690"/>
      <c r="L115" s="691">
        <f>G115*P225/36500</f>
        <v>1825.1455068493151</v>
      </c>
      <c r="M115" s="691">
        <f t="shared" si="36"/>
        <v>164263.09561643837</v>
      </c>
      <c r="N115" s="691">
        <f t="shared" si="37"/>
        <v>164263.09561643837</v>
      </c>
      <c r="O115" s="691">
        <f t="shared" si="38"/>
        <v>3.4000000000000341</v>
      </c>
      <c r="P115" s="691">
        <f t="shared" si="39"/>
        <v>61200.000000000611</v>
      </c>
      <c r="Q115" s="691">
        <f t="shared" si="40"/>
        <v>225463.09561643898</v>
      </c>
      <c r="R115" s="798">
        <v>281.95</v>
      </c>
      <c r="S115" s="718" t="s">
        <v>362</v>
      </c>
    </row>
    <row r="116" spans="1:19" s="711" customFormat="1" hidden="1" x14ac:dyDescent="0.3">
      <c r="A116" s="747" t="s">
        <v>205</v>
      </c>
      <c r="B116" s="687"/>
      <c r="C116" s="688">
        <f t="shared" si="41"/>
        <v>45869</v>
      </c>
      <c r="D116" s="687">
        <v>90</v>
      </c>
      <c r="E116" s="688">
        <v>45959</v>
      </c>
      <c r="F116" s="823">
        <v>50140</v>
      </c>
      <c r="G116" s="689">
        <f t="shared" ref="G116:G121" si="42">F116*H116</f>
        <v>14207169.000000002</v>
      </c>
      <c r="H116" s="761">
        <v>283.35000000000002</v>
      </c>
      <c r="I116" s="687">
        <v>90</v>
      </c>
      <c r="J116" s="690"/>
      <c r="K116" s="690"/>
      <c r="L116" s="691">
        <f>G116*P229/36500</f>
        <v>4935.5315868493153</v>
      </c>
      <c r="M116" s="691">
        <f t="shared" ref="M116:M121" si="43">L116*I116</f>
        <v>444197.84281643835</v>
      </c>
      <c r="N116" s="691">
        <f t="shared" ref="N116:N121" si="44">M116-K116</f>
        <v>444197.84281643835</v>
      </c>
      <c r="O116" s="691">
        <f t="shared" si="38"/>
        <v>0.85000000000002274</v>
      </c>
      <c r="P116" s="691">
        <f t="shared" ref="P116:P121" si="45">O116*F116</f>
        <v>42619.000000001142</v>
      </c>
      <c r="Q116" s="691">
        <f t="shared" ref="Q116:Q121" si="46">N116+P116</f>
        <v>486816.84281643952</v>
      </c>
      <c r="R116" s="798">
        <v>282.5</v>
      </c>
      <c r="S116" s="718" t="s">
        <v>360</v>
      </c>
    </row>
    <row r="117" spans="1:19" s="711" customFormat="1" hidden="1" x14ac:dyDescent="0.3">
      <c r="A117" s="747" t="s">
        <v>206</v>
      </c>
      <c r="B117" s="687"/>
      <c r="C117" s="688">
        <f t="shared" si="41"/>
        <v>45870</v>
      </c>
      <c r="D117" s="687">
        <v>90</v>
      </c>
      <c r="E117" s="688">
        <v>45960</v>
      </c>
      <c r="F117" s="823">
        <v>18937.8</v>
      </c>
      <c r="G117" s="689">
        <f t="shared" si="42"/>
        <v>5366025.63</v>
      </c>
      <c r="H117" s="761">
        <v>283.35000000000002</v>
      </c>
      <c r="I117" s="687">
        <v>90</v>
      </c>
      <c r="J117" s="690"/>
      <c r="K117" s="690"/>
      <c r="L117" s="691">
        <f>G117*P225/36500</f>
        <v>1906.7767786602742</v>
      </c>
      <c r="M117" s="691">
        <f t="shared" si="43"/>
        <v>171609.91007942468</v>
      </c>
      <c r="N117" s="691">
        <f t="shared" si="44"/>
        <v>171609.91007942468</v>
      </c>
      <c r="O117" s="691">
        <f t="shared" si="38"/>
        <v>1.8500000000000227</v>
      </c>
      <c r="P117" s="691">
        <f t="shared" si="45"/>
        <v>35034.93000000043</v>
      </c>
      <c r="Q117" s="691">
        <f t="shared" si="46"/>
        <v>206644.84007942511</v>
      </c>
      <c r="R117" s="798">
        <v>281.5</v>
      </c>
      <c r="S117" s="718" t="s">
        <v>340</v>
      </c>
    </row>
    <row r="118" spans="1:19" s="711" customFormat="1" hidden="1" x14ac:dyDescent="0.3">
      <c r="A118" s="747" t="s">
        <v>66</v>
      </c>
      <c r="B118" s="687"/>
      <c r="C118" s="688">
        <f t="shared" si="41"/>
        <v>45875</v>
      </c>
      <c r="D118" s="687">
        <v>90</v>
      </c>
      <c r="E118" s="688">
        <v>45965</v>
      </c>
      <c r="F118" s="823">
        <v>63172</v>
      </c>
      <c r="G118" s="689">
        <f t="shared" si="42"/>
        <v>17874517.399999999</v>
      </c>
      <c r="H118" s="761">
        <v>282.95</v>
      </c>
      <c r="I118" s="687">
        <v>90</v>
      </c>
      <c r="J118" s="690"/>
      <c r="K118" s="690"/>
      <c r="L118" s="691">
        <f>G118*P227/36500</f>
        <v>6278.1181662465751</v>
      </c>
      <c r="M118" s="691">
        <f t="shared" si="43"/>
        <v>565030.63496219181</v>
      </c>
      <c r="N118" s="691">
        <f t="shared" si="44"/>
        <v>565030.63496219181</v>
      </c>
      <c r="O118" s="691">
        <f t="shared" si="38"/>
        <v>1.5999999999999659</v>
      </c>
      <c r="P118" s="691">
        <f t="shared" si="45"/>
        <v>101075.19999999784</v>
      </c>
      <c r="Q118" s="691">
        <f t="shared" si="46"/>
        <v>666105.83496218966</v>
      </c>
      <c r="R118" s="798">
        <v>281.35000000000002</v>
      </c>
      <c r="S118" s="718" t="s">
        <v>360</v>
      </c>
    </row>
    <row r="119" spans="1:19" s="711" customFormat="1" hidden="1" x14ac:dyDescent="0.3">
      <c r="A119" s="747" t="s">
        <v>361</v>
      </c>
      <c r="B119" s="687"/>
      <c r="C119" s="688">
        <f>E119-D119</f>
        <v>45884</v>
      </c>
      <c r="D119" s="687">
        <v>90</v>
      </c>
      <c r="E119" s="688">
        <v>45974</v>
      </c>
      <c r="F119" s="823">
        <v>17573.599999999999</v>
      </c>
      <c r="G119" s="689">
        <f t="shared" si="42"/>
        <v>4968935.3999999994</v>
      </c>
      <c r="H119" s="761">
        <v>282.75</v>
      </c>
      <c r="I119" s="687">
        <v>90</v>
      </c>
      <c r="J119" s="690"/>
      <c r="K119" s="690"/>
      <c r="L119" s="691">
        <f>G119*P235/36500</f>
        <v>1775.2032223561644</v>
      </c>
      <c r="M119" s="691">
        <f t="shared" si="43"/>
        <v>159768.29001205479</v>
      </c>
      <c r="N119" s="691">
        <f t="shared" si="44"/>
        <v>159768.29001205479</v>
      </c>
      <c r="O119" s="691">
        <f t="shared" si="38"/>
        <v>1.25</v>
      </c>
      <c r="P119" s="691">
        <f t="shared" si="45"/>
        <v>21967</v>
      </c>
      <c r="Q119" s="691">
        <f t="shared" si="46"/>
        <v>181735.29001205479</v>
      </c>
      <c r="R119" s="798">
        <v>281.5</v>
      </c>
      <c r="S119" s="718" t="s">
        <v>367</v>
      </c>
    </row>
    <row r="120" spans="1:19" s="711" customFormat="1" hidden="1" x14ac:dyDescent="0.3">
      <c r="A120" s="747" t="s">
        <v>206</v>
      </c>
      <c r="B120" s="687"/>
      <c r="C120" s="688">
        <f>E120-D120</f>
        <v>45869</v>
      </c>
      <c r="D120" s="687">
        <v>90</v>
      </c>
      <c r="E120" s="688">
        <v>45959</v>
      </c>
      <c r="F120" s="823">
        <v>18937.8</v>
      </c>
      <c r="G120" s="689">
        <f t="shared" si="42"/>
        <v>5366025.63</v>
      </c>
      <c r="H120" s="761">
        <v>283.35000000000002</v>
      </c>
      <c r="I120" s="687">
        <v>90</v>
      </c>
      <c r="J120" s="690"/>
      <c r="K120" s="690"/>
      <c r="L120" s="691">
        <f>G120*P225/36500</f>
        <v>1906.7767786602742</v>
      </c>
      <c r="M120" s="691">
        <f t="shared" si="43"/>
        <v>171609.91007942468</v>
      </c>
      <c r="N120" s="691">
        <f t="shared" si="44"/>
        <v>171609.91007942468</v>
      </c>
      <c r="O120" s="691">
        <f t="shared" si="38"/>
        <v>2</v>
      </c>
      <c r="P120" s="691">
        <f t="shared" si="45"/>
        <v>37875.599999999999</v>
      </c>
      <c r="Q120" s="691">
        <f t="shared" si="46"/>
        <v>209485.51007942468</v>
      </c>
      <c r="R120" s="798">
        <v>281.35000000000002</v>
      </c>
      <c r="S120" s="718" t="s">
        <v>367</v>
      </c>
    </row>
    <row r="121" spans="1:19" s="711" customFormat="1" hidden="1" x14ac:dyDescent="0.3">
      <c r="A121" s="747" t="s">
        <v>91</v>
      </c>
      <c r="B121" s="687"/>
      <c r="C121" s="688">
        <f>E121-D121</f>
        <v>45895</v>
      </c>
      <c r="D121" s="687">
        <v>90</v>
      </c>
      <c r="E121" s="688">
        <v>45985</v>
      </c>
      <c r="F121" s="823">
        <v>18500</v>
      </c>
      <c r="G121" s="689">
        <f t="shared" si="42"/>
        <v>5214225</v>
      </c>
      <c r="H121" s="761">
        <v>281.85000000000002</v>
      </c>
      <c r="I121" s="687">
        <v>90</v>
      </c>
      <c r="J121" s="690"/>
      <c r="K121" s="690"/>
      <c r="L121" s="691">
        <f>G121*P234/36500</f>
        <v>1759.9795068493152</v>
      </c>
      <c r="M121" s="691">
        <f t="shared" si="43"/>
        <v>158398.15561643837</v>
      </c>
      <c r="N121" s="691">
        <f t="shared" si="44"/>
        <v>158398.15561643837</v>
      </c>
      <c r="O121" s="691">
        <f t="shared" si="38"/>
        <v>0.20000000000004547</v>
      </c>
      <c r="P121" s="691">
        <f t="shared" si="45"/>
        <v>3700.0000000008413</v>
      </c>
      <c r="Q121" s="691">
        <f t="shared" si="46"/>
        <v>162098.15561643921</v>
      </c>
      <c r="R121" s="798">
        <v>281.64999999999998</v>
      </c>
      <c r="S121" s="718" t="s">
        <v>368</v>
      </c>
    </row>
    <row r="122" spans="1:19" s="711" customFormat="1" hidden="1" x14ac:dyDescent="0.3">
      <c r="A122" s="747" t="s">
        <v>327</v>
      </c>
      <c r="B122" s="687"/>
      <c r="C122" s="688">
        <f>E122-D122</f>
        <v>45902</v>
      </c>
      <c r="D122" s="687">
        <v>90</v>
      </c>
      <c r="E122" s="688">
        <v>45992</v>
      </c>
      <c r="F122" s="823">
        <v>136500</v>
      </c>
      <c r="G122" s="689">
        <f>F122*H122</f>
        <v>38513475</v>
      </c>
      <c r="H122" s="761">
        <v>282.14999999999998</v>
      </c>
      <c r="I122" s="687">
        <v>90</v>
      </c>
      <c r="J122" s="690"/>
      <c r="K122" s="690"/>
      <c r="L122" s="691">
        <f>G122*P232/36500</f>
        <v>13643.266623287671</v>
      </c>
      <c r="M122" s="691">
        <f>L122*I122</f>
        <v>1227893.9960958904</v>
      </c>
      <c r="N122" s="691">
        <f>M122-K122</f>
        <v>1227893.9960958904</v>
      </c>
      <c r="O122" s="691">
        <f t="shared" si="38"/>
        <v>0.14999999999997726</v>
      </c>
      <c r="P122" s="691">
        <f>O122*F122</f>
        <v>20474.999999996897</v>
      </c>
      <c r="Q122" s="691">
        <f>N122+P122</f>
        <v>1248368.9960958874</v>
      </c>
      <c r="R122" s="798">
        <v>282</v>
      </c>
      <c r="S122" s="718" t="s">
        <v>340</v>
      </c>
    </row>
    <row r="123" spans="1:19" s="711" customFormat="1" hidden="1" x14ac:dyDescent="0.3">
      <c r="A123" s="747" t="s">
        <v>361</v>
      </c>
      <c r="B123" s="687"/>
      <c r="C123" s="688">
        <f t="shared" ref="C123:C128" si="47">E123-D123</f>
        <v>45906</v>
      </c>
      <c r="D123" s="687">
        <v>90</v>
      </c>
      <c r="E123" s="688">
        <v>45996</v>
      </c>
      <c r="F123" s="823">
        <v>71000</v>
      </c>
      <c r="G123" s="689">
        <f t="shared" ref="G123:G128" si="48">F123*H123</f>
        <v>20025550</v>
      </c>
      <c r="H123" s="761">
        <v>282.05</v>
      </c>
      <c r="I123" s="687">
        <v>90</v>
      </c>
      <c r="J123" s="690"/>
      <c r="K123" s="690"/>
      <c r="L123" s="691">
        <f>G123*P235/36500</f>
        <v>7154.3334794520561</v>
      </c>
      <c r="M123" s="691">
        <f t="shared" ref="M123:M128" si="49">L123*I123</f>
        <v>643890.013150685</v>
      </c>
      <c r="N123" s="691">
        <f t="shared" ref="N123:N128" si="50">M123-K123</f>
        <v>643890.013150685</v>
      </c>
      <c r="O123" s="691">
        <f t="shared" ref="O123:O128" si="51">H123-R123</f>
        <v>0.75</v>
      </c>
      <c r="P123" s="691">
        <f t="shared" ref="P123:P128" si="52">O123*F123</f>
        <v>53250</v>
      </c>
      <c r="Q123" s="691">
        <f t="shared" ref="Q123:Q128" si="53">N123+P123</f>
        <v>697140.013150685</v>
      </c>
      <c r="R123" s="798">
        <v>281.3</v>
      </c>
      <c r="S123" s="718" t="s">
        <v>340</v>
      </c>
    </row>
    <row r="124" spans="1:19" s="711" customFormat="1" hidden="1" x14ac:dyDescent="0.3">
      <c r="A124" s="747" t="s">
        <v>69</v>
      </c>
      <c r="B124" s="687"/>
      <c r="C124" s="688">
        <f t="shared" si="47"/>
        <v>45909</v>
      </c>
      <c r="D124" s="687">
        <v>90</v>
      </c>
      <c r="E124" s="688">
        <v>45999</v>
      </c>
      <c r="F124" s="823">
        <v>38276.6</v>
      </c>
      <c r="G124" s="689">
        <f t="shared" si="48"/>
        <v>10794001.199999999</v>
      </c>
      <c r="H124" s="761">
        <v>282</v>
      </c>
      <c r="I124" s="687">
        <v>90</v>
      </c>
      <c r="J124" s="690"/>
      <c r="K124" s="690"/>
      <c r="L124" s="691">
        <f>G124*P233/36500</f>
        <v>3675.8749292054795</v>
      </c>
      <c r="M124" s="691">
        <f t="shared" si="49"/>
        <v>330828.74362849316</v>
      </c>
      <c r="N124" s="691">
        <f t="shared" si="50"/>
        <v>330828.74362849316</v>
      </c>
      <c r="O124" s="691">
        <f t="shared" si="51"/>
        <v>-0.19999999999998863</v>
      </c>
      <c r="P124" s="691">
        <f t="shared" si="52"/>
        <v>-7655.319999999565</v>
      </c>
      <c r="Q124" s="691">
        <f t="shared" si="53"/>
        <v>323173.42362849362</v>
      </c>
      <c r="R124" s="798">
        <v>282.2</v>
      </c>
      <c r="S124" s="718" t="s">
        <v>360</v>
      </c>
    </row>
    <row r="125" spans="1:19" s="711" customFormat="1" hidden="1" x14ac:dyDescent="0.3">
      <c r="A125" s="747" t="s">
        <v>91</v>
      </c>
      <c r="B125" s="687"/>
      <c r="C125" s="688">
        <f t="shared" si="47"/>
        <v>45901</v>
      </c>
      <c r="D125" s="687">
        <v>90</v>
      </c>
      <c r="E125" s="688">
        <v>45991</v>
      </c>
      <c r="F125" s="823">
        <v>45120</v>
      </c>
      <c r="G125" s="689">
        <f t="shared" si="48"/>
        <v>12730607.999999998</v>
      </c>
      <c r="H125" s="761">
        <v>282.14999999999998</v>
      </c>
      <c r="I125" s="687">
        <v>90</v>
      </c>
      <c r="J125" s="690"/>
      <c r="K125" s="690"/>
      <c r="L125" s="691">
        <f>G125*P234/36500</f>
        <v>4297.0161797260271</v>
      </c>
      <c r="M125" s="691">
        <f t="shared" si="49"/>
        <v>386731.45617534244</v>
      </c>
      <c r="N125" s="691">
        <f t="shared" si="50"/>
        <v>386731.45617534244</v>
      </c>
      <c r="O125" s="691">
        <f t="shared" si="51"/>
        <v>0.64999999999997726</v>
      </c>
      <c r="P125" s="691">
        <f t="shared" si="52"/>
        <v>29327.999999998974</v>
      </c>
      <c r="Q125" s="691">
        <f t="shared" si="53"/>
        <v>416059.45617534139</v>
      </c>
      <c r="R125" s="798">
        <v>281.5</v>
      </c>
      <c r="S125" s="718" t="s">
        <v>340</v>
      </c>
    </row>
    <row r="126" spans="1:19" s="711" customFormat="1" hidden="1" x14ac:dyDescent="0.3">
      <c r="A126" s="747" t="s">
        <v>66</v>
      </c>
      <c r="B126" s="687"/>
      <c r="C126" s="688">
        <f t="shared" si="47"/>
        <v>45892</v>
      </c>
      <c r="D126" s="687">
        <v>90</v>
      </c>
      <c r="E126" s="688">
        <v>45982</v>
      </c>
      <c r="F126" s="823">
        <v>131262.29999999999</v>
      </c>
      <c r="G126" s="689">
        <f t="shared" si="48"/>
        <v>36996279.255000003</v>
      </c>
      <c r="H126" s="761">
        <v>281.85000000000002</v>
      </c>
      <c r="I126" s="687">
        <v>90</v>
      </c>
      <c r="J126" s="690"/>
      <c r="K126" s="690"/>
      <c r="L126" s="691">
        <f>G126*P227/36500</f>
        <v>12994.309590386303</v>
      </c>
      <c r="M126" s="691">
        <f t="shared" si="49"/>
        <v>1169487.8631347674</v>
      </c>
      <c r="N126" s="691">
        <f t="shared" si="50"/>
        <v>1169487.8631347674</v>
      </c>
      <c r="O126" s="691">
        <f t="shared" si="51"/>
        <v>0.35000000000002274</v>
      </c>
      <c r="P126" s="691">
        <f t="shared" si="52"/>
        <v>45941.805000002983</v>
      </c>
      <c r="Q126" s="691">
        <f t="shared" si="53"/>
        <v>1215429.6681347704</v>
      </c>
      <c r="R126" s="798">
        <v>281.5</v>
      </c>
      <c r="S126" s="718" t="s">
        <v>340</v>
      </c>
    </row>
    <row r="127" spans="1:19" s="711" customFormat="1" hidden="1" x14ac:dyDescent="0.3">
      <c r="A127" s="747" t="s">
        <v>205</v>
      </c>
      <c r="B127" s="687"/>
      <c r="C127" s="688">
        <f t="shared" si="47"/>
        <v>45903</v>
      </c>
      <c r="D127" s="687">
        <v>90</v>
      </c>
      <c r="E127" s="688">
        <v>45993</v>
      </c>
      <c r="F127" s="823">
        <v>154350</v>
      </c>
      <c r="G127" s="689">
        <f t="shared" si="48"/>
        <v>43542135</v>
      </c>
      <c r="H127" s="761">
        <v>282.10000000000002</v>
      </c>
      <c r="I127" s="687">
        <v>90</v>
      </c>
      <c r="J127" s="690"/>
      <c r="K127" s="690"/>
      <c r="L127" s="691">
        <f>G127*P229/36500</f>
        <v>15126.418405479451</v>
      </c>
      <c r="M127" s="691">
        <f t="shared" si="49"/>
        <v>1361377.6564931506</v>
      </c>
      <c r="N127" s="691">
        <f t="shared" si="50"/>
        <v>1361377.6564931506</v>
      </c>
      <c r="O127" s="691">
        <f t="shared" si="51"/>
        <v>0.35000000000002274</v>
      </c>
      <c r="P127" s="691">
        <f t="shared" si="52"/>
        <v>54022.500000003507</v>
      </c>
      <c r="Q127" s="691">
        <f t="shared" si="53"/>
        <v>1415400.1564931541</v>
      </c>
      <c r="R127" s="798">
        <v>281.75</v>
      </c>
      <c r="S127" s="718" t="s">
        <v>360</v>
      </c>
    </row>
    <row r="128" spans="1:19" s="711" customFormat="1" hidden="1" x14ac:dyDescent="0.3">
      <c r="A128" s="747" t="s">
        <v>205</v>
      </c>
      <c r="B128" s="687"/>
      <c r="C128" s="688">
        <f t="shared" si="47"/>
        <v>45902</v>
      </c>
      <c r="D128" s="687">
        <v>90</v>
      </c>
      <c r="E128" s="688">
        <v>45992</v>
      </c>
      <c r="F128" s="823">
        <v>65825.5</v>
      </c>
      <c r="G128" s="689">
        <f t="shared" si="48"/>
        <v>18572664.824999999</v>
      </c>
      <c r="H128" s="761">
        <v>282.14999999999998</v>
      </c>
      <c r="I128" s="687">
        <v>90</v>
      </c>
      <c r="J128" s="690"/>
      <c r="K128" s="690"/>
      <c r="L128" s="691">
        <f>G128*P229/36500</f>
        <v>6452.0928761917803</v>
      </c>
      <c r="M128" s="691">
        <f t="shared" si="49"/>
        <v>580688.3588572602</v>
      </c>
      <c r="N128" s="691">
        <f t="shared" si="50"/>
        <v>580688.3588572602</v>
      </c>
      <c r="O128" s="691">
        <f t="shared" si="51"/>
        <v>0.64999999999997726</v>
      </c>
      <c r="P128" s="691">
        <f t="shared" si="52"/>
        <v>42786.574999998506</v>
      </c>
      <c r="Q128" s="691">
        <f t="shared" si="53"/>
        <v>623474.93385725876</v>
      </c>
      <c r="R128" s="798">
        <v>281.5</v>
      </c>
      <c r="S128" s="718" t="s">
        <v>360</v>
      </c>
    </row>
    <row r="129" spans="1:19" s="711" customFormat="1" hidden="1" x14ac:dyDescent="0.3">
      <c r="A129" s="747" t="s">
        <v>69</v>
      </c>
      <c r="B129" s="687"/>
      <c r="C129" s="688">
        <f t="shared" ref="C129:C135" si="54">E129-D129</f>
        <v>45919</v>
      </c>
      <c r="D129" s="687">
        <v>90</v>
      </c>
      <c r="E129" s="688">
        <v>46009</v>
      </c>
      <c r="F129" s="823">
        <v>44400</v>
      </c>
      <c r="G129" s="689">
        <f t="shared" ref="G129:G135" si="55">F129*H129</f>
        <v>12516359.999999998</v>
      </c>
      <c r="H129" s="761">
        <v>281.89999999999998</v>
      </c>
      <c r="I129" s="687">
        <v>90</v>
      </c>
      <c r="J129" s="690"/>
      <c r="K129" s="690"/>
      <c r="L129" s="691">
        <f>G129*P233/36500</f>
        <v>4262.4206794520542</v>
      </c>
      <c r="M129" s="691">
        <f t="shared" ref="M129:M135" si="56">L129*I129</f>
        <v>383617.86115068488</v>
      </c>
      <c r="N129" s="691">
        <f t="shared" ref="N129:N135" si="57">M129-K129</f>
        <v>383617.86115068488</v>
      </c>
      <c r="O129" s="691">
        <f t="shared" ref="O129:O134" si="58">H129-R129</f>
        <v>-0.10000000000002274</v>
      </c>
      <c r="P129" s="691">
        <f t="shared" ref="P129:P135" si="59">O129*F129</f>
        <v>-4440.0000000010095</v>
      </c>
      <c r="Q129" s="691">
        <f t="shared" ref="Q129:Q135" si="60">N129+P129</f>
        <v>379177.86115068389</v>
      </c>
      <c r="R129" s="798">
        <v>282</v>
      </c>
      <c r="S129" s="718" t="s">
        <v>363</v>
      </c>
    </row>
    <row r="130" spans="1:19" s="711" customFormat="1" hidden="1" x14ac:dyDescent="0.3">
      <c r="A130" s="747" t="s">
        <v>69</v>
      </c>
      <c r="B130" s="687"/>
      <c r="C130" s="688">
        <f t="shared" si="54"/>
        <v>45919</v>
      </c>
      <c r="D130" s="687">
        <v>90</v>
      </c>
      <c r="E130" s="688">
        <v>46009</v>
      </c>
      <c r="F130" s="823">
        <v>36336.300000000003</v>
      </c>
      <c r="G130" s="689">
        <f t="shared" si="55"/>
        <v>10243202.970000001</v>
      </c>
      <c r="H130" s="761">
        <v>281.89999999999998</v>
      </c>
      <c r="I130" s="687">
        <v>90</v>
      </c>
      <c r="J130" s="690"/>
      <c r="K130" s="690"/>
      <c r="L130" s="691">
        <f>G130*P233/36500</f>
        <v>3488.3017237561648</v>
      </c>
      <c r="M130" s="691">
        <f t="shared" si="56"/>
        <v>313947.15513805486</v>
      </c>
      <c r="N130" s="691">
        <f t="shared" si="57"/>
        <v>313947.15513805486</v>
      </c>
      <c r="O130" s="691">
        <f t="shared" si="58"/>
        <v>-0.10000000000002274</v>
      </c>
      <c r="P130" s="691">
        <f t="shared" si="59"/>
        <v>-3633.6300000008264</v>
      </c>
      <c r="Q130" s="691">
        <f t="shared" si="60"/>
        <v>310313.52513805404</v>
      </c>
      <c r="R130" s="798">
        <v>282</v>
      </c>
      <c r="S130" s="718" t="s">
        <v>363</v>
      </c>
    </row>
    <row r="131" spans="1:19" s="711" customFormat="1" hidden="1" x14ac:dyDescent="0.3">
      <c r="A131" s="747" t="s">
        <v>66</v>
      </c>
      <c r="B131" s="687"/>
      <c r="C131" s="688">
        <f t="shared" si="54"/>
        <v>45924</v>
      </c>
      <c r="D131" s="687">
        <v>90</v>
      </c>
      <c r="E131" s="688">
        <v>46014</v>
      </c>
      <c r="F131" s="823">
        <v>267750</v>
      </c>
      <c r="G131" s="689">
        <f t="shared" si="55"/>
        <v>75451950</v>
      </c>
      <c r="H131" s="761">
        <v>281.8</v>
      </c>
      <c r="I131" s="687">
        <v>90</v>
      </c>
      <c r="J131" s="690"/>
      <c r="K131" s="690"/>
      <c r="L131" s="691">
        <f>G131*P227/36500</f>
        <v>26501.205452054794</v>
      </c>
      <c r="M131" s="691">
        <f t="shared" si="56"/>
        <v>2385108.4906849316</v>
      </c>
      <c r="N131" s="691">
        <f t="shared" si="57"/>
        <v>2385108.4906849316</v>
      </c>
      <c r="O131" s="691">
        <f t="shared" si="58"/>
        <v>0.60000000000002274</v>
      </c>
      <c r="P131" s="691">
        <f t="shared" si="59"/>
        <v>160650.00000000608</v>
      </c>
      <c r="Q131" s="691">
        <f t="shared" si="60"/>
        <v>2545758.4906849377</v>
      </c>
      <c r="R131" s="798">
        <v>281.2</v>
      </c>
      <c r="S131" s="718" t="s">
        <v>363</v>
      </c>
    </row>
    <row r="132" spans="1:19" s="711" customFormat="1" hidden="1" x14ac:dyDescent="0.3">
      <c r="A132" s="747" t="s">
        <v>69</v>
      </c>
      <c r="B132" s="687"/>
      <c r="C132" s="688">
        <f t="shared" si="54"/>
        <v>45924</v>
      </c>
      <c r="D132" s="687">
        <v>90</v>
      </c>
      <c r="E132" s="688">
        <v>46014</v>
      </c>
      <c r="F132" s="823">
        <v>52000</v>
      </c>
      <c r="G132" s="689">
        <f t="shared" si="55"/>
        <v>14653600</v>
      </c>
      <c r="H132" s="761">
        <v>281.8</v>
      </c>
      <c r="I132" s="687">
        <v>90</v>
      </c>
      <c r="J132" s="690"/>
      <c r="K132" s="690"/>
      <c r="L132" s="691">
        <f>G132*P233/36500</f>
        <v>4990.2533698630141</v>
      </c>
      <c r="M132" s="691">
        <f t="shared" si="56"/>
        <v>449122.8032876713</v>
      </c>
      <c r="N132" s="691">
        <f t="shared" si="57"/>
        <v>449122.8032876713</v>
      </c>
      <c r="O132" s="691">
        <f t="shared" si="58"/>
        <v>-0.19999999999998863</v>
      </c>
      <c r="P132" s="691">
        <f t="shared" si="59"/>
        <v>-10399.999999999409</v>
      </c>
      <c r="Q132" s="691">
        <f t="shared" si="60"/>
        <v>438722.80328767188</v>
      </c>
      <c r="R132" s="798">
        <v>282</v>
      </c>
      <c r="S132" s="718" t="s">
        <v>363</v>
      </c>
    </row>
    <row r="133" spans="1:19" s="711" customFormat="1" hidden="1" x14ac:dyDescent="0.3">
      <c r="A133" s="747" t="s">
        <v>91</v>
      </c>
      <c r="B133" s="687"/>
      <c r="C133" s="688">
        <f t="shared" si="54"/>
        <v>45924</v>
      </c>
      <c r="D133" s="687">
        <v>90</v>
      </c>
      <c r="E133" s="688">
        <v>46014</v>
      </c>
      <c r="F133" s="823">
        <v>312375</v>
      </c>
      <c r="G133" s="689">
        <f t="shared" si="55"/>
        <v>88027275</v>
      </c>
      <c r="H133" s="761">
        <v>281.8</v>
      </c>
      <c r="I133" s="687">
        <v>90</v>
      </c>
      <c r="J133" s="690"/>
      <c r="K133" s="690"/>
      <c r="L133" s="691">
        <f>G133*P234/36500</f>
        <v>29712.219945205481</v>
      </c>
      <c r="M133" s="691">
        <f t="shared" si="56"/>
        <v>2674099.7950684931</v>
      </c>
      <c r="N133" s="691">
        <f t="shared" si="57"/>
        <v>2674099.7950684931</v>
      </c>
      <c r="O133" s="691">
        <f t="shared" si="58"/>
        <v>0.40000000000003411</v>
      </c>
      <c r="P133" s="691">
        <f t="shared" si="59"/>
        <v>124950.00000001065</v>
      </c>
      <c r="Q133" s="691">
        <f t="shared" si="60"/>
        <v>2799049.7950685038</v>
      </c>
      <c r="R133" s="798">
        <v>281.39999999999998</v>
      </c>
      <c r="S133" s="718" t="s">
        <v>363</v>
      </c>
    </row>
    <row r="134" spans="1:19" s="711" customFormat="1" hidden="1" x14ac:dyDescent="0.3">
      <c r="A134" s="747" t="s">
        <v>361</v>
      </c>
      <c r="B134" s="687"/>
      <c r="C134" s="688">
        <f t="shared" si="54"/>
        <v>45924</v>
      </c>
      <c r="D134" s="687">
        <v>90</v>
      </c>
      <c r="E134" s="688">
        <v>46014</v>
      </c>
      <c r="F134" s="823">
        <v>312375</v>
      </c>
      <c r="G134" s="689">
        <f t="shared" si="55"/>
        <v>88027275</v>
      </c>
      <c r="H134" s="761">
        <v>281.8</v>
      </c>
      <c r="I134" s="687">
        <v>90</v>
      </c>
      <c r="J134" s="690"/>
      <c r="K134" s="690"/>
      <c r="L134" s="691">
        <f>G134*P235/36500</f>
        <v>31448.648383561645</v>
      </c>
      <c r="M134" s="691">
        <f t="shared" si="56"/>
        <v>2830378.3545205481</v>
      </c>
      <c r="N134" s="691">
        <f t="shared" si="57"/>
        <v>2830378.3545205481</v>
      </c>
      <c r="O134" s="691">
        <f t="shared" si="58"/>
        <v>1.1999999999999886</v>
      </c>
      <c r="P134" s="691">
        <f t="shared" si="59"/>
        <v>374849.99999999645</v>
      </c>
      <c r="Q134" s="691">
        <f t="shared" si="60"/>
        <v>3205228.3545205444</v>
      </c>
      <c r="R134" s="798">
        <v>280.60000000000002</v>
      </c>
      <c r="S134" s="718" t="s">
        <v>366</v>
      </c>
    </row>
    <row r="135" spans="1:19" s="711" customFormat="1" hidden="1" x14ac:dyDescent="0.3">
      <c r="A135" s="747" t="s">
        <v>327</v>
      </c>
      <c r="B135" s="687"/>
      <c r="C135" s="688">
        <f t="shared" si="54"/>
        <v>45927</v>
      </c>
      <c r="D135" s="687">
        <v>90</v>
      </c>
      <c r="E135" s="688">
        <v>46017</v>
      </c>
      <c r="F135" s="823">
        <v>17297</v>
      </c>
      <c r="G135" s="689">
        <f t="shared" si="55"/>
        <v>4874294.6000000006</v>
      </c>
      <c r="H135" s="761">
        <v>281.8</v>
      </c>
      <c r="I135" s="687">
        <v>90</v>
      </c>
      <c r="J135" s="690"/>
      <c r="K135" s="690"/>
      <c r="L135" s="691">
        <f>G135*P232/36500</f>
        <v>1726.7021692602741</v>
      </c>
      <c r="M135" s="691">
        <f t="shared" si="56"/>
        <v>155403.19523342466</v>
      </c>
      <c r="N135" s="691">
        <f t="shared" si="57"/>
        <v>155403.19523342466</v>
      </c>
      <c r="O135" s="691">
        <f t="shared" ref="O135:O150" si="61">H135-R135</f>
        <v>0.40000000000003411</v>
      </c>
      <c r="P135" s="691">
        <f t="shared" si="59"/>
        <v>6918.8000000005895</v>
      </c>
      <c r="Q135" s="691">
        <f t="shared" si="60"/>
        <v>162321.99523342526</v>
      </c>
      <c r="R135" s="798">
        <v>281.39999999999998</v>
      </c>
      <c r="S135" s="718" t="s">
        <v>340</v>
      </c>
    </row>
    <row r="136" spans="1:19" s="711" customFormat="1" hidden="1" x14ac:dyDescent="0.3">
      <c r="A136" s="747" t="s">
        <v>69</v>
      </c>
      <c r="B136" s="687"/>
      <c r="C136" s="688">
        <f t="shared" ref="C136:C141" si="62">E136-D136</f>
        <v>45938</v>
      </c>
      <c r="D136" s="687">
        <v>90</v>
      </c>
      <c r="E136" s="688">
        <v>46028</v>
      </c>
      <c r="F136" s="823">
        <v>44400</v>
      </c>
      <c r="G136" s="689">
        <f t="shared" ref="G136:G141" si="63">F136*H136</f>
        <v>12503040.000000002</v>
      </c>
      <c r="H136" s="761">
        <v>281.60000000000002</v>
      </c>
      <c r="I136" s="687">
        <v>90</v>
      </c>
      <c r="J136" s="690"/>
      <c r="K136" s="690"/>
      <c r="L136" s="691">
        <f>G136*P233/36500</f>
        <v>4257.8845808219185</v>
      </c>
      <c r="M136" s="691">
        <f t="shared" ref="M136:M141" si="64">L136*I136</f>
        <v>383209.61227397266</v>
      </c>
      <c r="N136" s="691">
        <f t="shared" ref="N136:N141" si="65">M136-K136</f>
        <v>383209.61227397266</v>
      </c>
      <c r="O136" s="691">
        <f t="shared" si="61"/>
        <v>-0.34999999999996589</v>
      </c>
      <c r="P136" s="691">
        <f t="shared" ref="P136:P141" si="66">O136*F136</f>
        <v>-15539.999999998487</v>
      </c>
      <c r="Q136" s="691">
        <f t="shared" ref="Q136:Q141" si="67">N136+P136</f>
        <v>367669.61227397417</v>
      </c>
      <c r="R136" s="798">
        <v>281.95</v>
      </c>
      <c r="S136" s="718" t="s">
        <v>340</v>
      </c>
    </row>
    <row r="137" spans="1:19" s="711" customFormat="1" hidden="1" x14ac:dyDescent="0.3">
      <c r="A137" s="747" t="s">
        <v>69</v>
      </c>
      <c r="B137" s="687"/>
      <c r="C137" s="688">
        <f t="shared" si="62"/>
        <v>45926</v>
      </c>
      <c r="D137" s="687">
        <v>90</v>
      </c>
      <c r="E137" s="688">
        <v>46016</v>
      </c>
      <c r="F137" s="823">
        <v>97162.96</v>
      </c>
      <c r="G137" s="689">
        <f t="shared" si="63"/>
        <v>27380522.128000002</v>
      </c>
      <c r="H137" s="761">
        <v>281.8</v>
      </c>
      <c r="I137" s="687">
        <v>90</v>
      </c>
      <c r="J137" s="690"/>
      <c r="K137" s="690"/>
      <c r="L137" s="691">
        <f>G137*P233/36500</f>
        <v>9324.3805493435611</v>
      </c>
      <c r="M137" s="691">
        <f t="shared" si="64"/>
        <v>839194.24944092054</v>
      </c>
      <c r="N137" s="691">
        <f t="shared" si="65"/>
        <v>839194.24944092054</v>
      </c>
      <c r="O137" s="691">
        <f t="shared" si="61"/>
        <v>0.30000000000001137</v>
      </c>
      <c r="P137" s="691">
        <f t="shared" si="66"/>
        <v>29148.888000001105</v>
      </c>
      <c r="Q137" s="691">
        <f t="shared" si="67"/>
        <v>868343.13744092162</v>
      </c>
      <c r="R137" s="798">
        <v>281.5</v>
      </c>
      <c r="S137" s="718" t="s">
        <v>340</v>
      </c>
    </row>
    <row r="138" spans="1:19" s="711" customFormat="1" hidden="1" x14ac:dyDescent="0.3">
      <c r="A138" s="747" t="s">
        <v>68</v>
      </c>
      <c r="B138" s="687"/>
      <c r="C138" s="688">
        <f t="shared" si="62"/>
        <v>45930</v>
      </c>
      <c r="D138" s="687">
        <v>90</v>
      </c>
      <c r="E138" s="688">
        <v>46020</v>
      </c>
      <c r="F138" s="823">
        <v>15360</v>
      </c>
      <c r="G138" s="689">
        <f t="shared" si="63"/>
        <v>4327680</v>
      </c>
      <c r="H138" s="761">
        <v>281.75</v>
      </c>
      <c r="I138" s="687">
        <v>90</v>
      </c>
      <c r="J138" s="690"/>
      <c r="K138" s="690"/>
      <c r="L138" s="691">
        <f>G138*P226/36500</f>
        <v>1520.0234958904109</v>
      </c>
      <c r="M138" s="691">
        <f t="shared" si="64"/>
        <v>136802.11463013699</v>
      </c>
      <c r="N138" s="691">
        <f t="shared" si="65"/>
        <v>136802.11463013699</v>
      </c>
      <c r="O138" s="691">
        <f t="shared" si="61"/>
        <v>0.85000000000002274</v>
      </c>
      <c r="P138" s="691">
        <f t="shared" si="66"/>
        <v>13056.000000000349</v>
      </c>
      <c r="Q138" s="691">
        <f t="shared" si="67"/>
        <v>149858.11463013734</v>
      </c>
      <c r="R138" s="798">
        <v>280.89999999999998</v>
      </c>
      <c r="S138" s="718" t="s">
        <v>340</v>
      </c>
    </row>
    <row r="139" spans="1:19" s="711" customFormat="1" hidden="1" x14ac:dyDescent="0.3">
      <c r="A139" s="747" t="s">
        <v>68</v>
      </c>
      <c r="B139" s="687"/>
      <c r="C139" s="688">
        <f t="shared" si="62"/>
        <v>45937</v>
      </c>
      <c r="D139" s="687">
        <v>90</v>
      </c>
      <c r="E139" s="688">
        <v>46027</v>
      </c>
      <c r="F139" s="823">
        <v>52930.48</v>
      </c>
      <c r="G139" s="689">
        <f t="shared" si="63"/>
        <v>14907869.692</v>
      </c>
      <c r="H139" s="761">
        <v>281.64999999999998</v>
      </c>
      <c r="I139" s="687">
        <v>90</v>
      </c>
      <c r="J139" s="690"/>
      <c r="K139" s="690"/>
      <c r="L139" s="691">
        <f>G139*P226/36500</f>
        <v>5236.1339575736984</v>
      </c>
      <c r="M139" s="691">
        <f t="shared" si="64"/>
        <v>471252.05618163286</v>
      </c>
      <c r="N139" s="691">
        <f t="shared" si="65"/>
        <v>471252.05618163286</v>
      </c>
      <c r="O139" s="691">
        <f t="shared" si="61"/>
        <v>0.79999999999995453</v>
      </c>
      <c r="P139" s="691">
        <f t="shared" si="66"/>
        <v>42344.383999997597</v>
      </c>
      <c r="Q139" s="691">
        <f t="shared" si="67"/>
        <v>513596.44018163043</v>
      </c>
      <c r="R139" s="798">
        <v>280.85000000000002</v>
      </c>
      <c r="S139" s="718" t="s">
        <v>340</v>
      </c>
    </row>
    <row r="140" spans="1:19" s="711" customFormat="1" hidden="1" x14ac:dyDescent="0.3">
      <c r="A140" s="747" t="s">
        <v>338</v>
      </c>
      <c r="B140" s="687"/>
      <c r="C140" s="688">
        <f t="shared" si="62"/>
        <v>45570</v>
      </c>
      <c r="D140" s="687">
        <v>90</v>
      </c>
      <c r="E140" s="688">
        <v>45660</v>
      </c>
      <c r="F140" s="823">
        <v>28967.4</v>
      </c>
      <c r="G140" s="689">
        <f t="shared" si="63"/>
        <v>8158668.21</v>
      </c>
      <c r="H140" s="761">
        <v>281.64999999999998</v>
      </c>
      <c r="I140" s="687">
        <v>90</v>
      </c>
      <c r="J140" s="690"/>
      <c r="K140" s="690"/>
      <c r="L140" s="691">
        <f>G140*P228/36500</f>
        <v>2825.3579773808219</v>
      </c>
      <c r="M140" s="691">
        <f t="shared" si="64"/>
        <v>254282.21796427396</v>
      </c>
      <c r="N140" s="691">
        <f t="shared" si="65"/>
        <v>254282.21796427396</v>
      </c>
      <c r="O140" s="691">
        <f t="shared" si="61"/>
        <v>0.25</v>
      </c>
      <c r="P140" s="691">
        <f t="shared" si="66"/>
        <v>7241.85</v>
      </c>
      <c r="Q140" s="691">
        <f t="shared" si="67"/>
        <v>261524.06796427397</v>
      </c>
      <c r="R140" s="798">
        <v>281.39999999999998</v>
      </c>
      <c r="S140" s="718" t="s">
        <v>360</v>
      </c>
    </row>
    <row r="141" spans="1:19" s="711" customFormat="1" hidden="1" x14ac:dyDescent="0.3">
      <c r="A141" s="747" t="s">
        <v>338</v>
      </c>
      <c r="B141" s="687"/>
      <c r="C141" s="688">
        <f t="shared" si="62"/>
        <v>45926</v>
      </c>
      <c r="D141" s="687">
        <v>90</v>
      </c>
      <c r="E141" s="688">
        <v>46016</v>
      </c>
      <c r="F141" s="823">
        <v>180648</v>
      </c>
      <c r="G141" s="689">
        <f t="shared" si="63"/>
        <v>50906606.399999999</v>
      </c>
      <c r="H141" s="761">
        <v>281.8</v>
      </c>
      <c r="I141" s="687">
        <v>90</v>
      </c>
      <c r="J141" s="690"/>
      <c r="K141" s="690"/>
      <c r="L141" s="691">
        <f>G141*P228/36500</f>
        <v>17629.02753139726</v>
      </c>
      <c r="M141" s="691">
        <f t="shared" si="64"/>
        <v>1586612.4778257534</v>
      </c>
      <c r="N141" s="691">
        <f t="shared" si="65"/>
        <v>1586612.4778257534</v>
      </c>
      <c r="O141" s="691">
        <f t="shared" si="61"/>
        <v>0.30000000000001137</v>
      </c>
      <c r="P141" s="691">
        <f t="shared" si="66"/>
        <v>54194.400000002053</v>
      </c>
      <c r="Q141" s="691">
        <f t="shared" si="67"/>
        <v>1640806.8778257554</v>
      </c>
      <c r="R141" s="798">
        <v>281.5</v>
      </c>
      <c r="S141" s="718" t="s">
        <v>360</v>
      </c>
    </row>
    <row r="142" spans="1:19" s="711" customFormat="1" hidden="1" x14ac:dyDescent="0.3">
      <c r="A142" s="747" t="s">
        <v>91</v>
      </c>
      <c r="B142" s="687"/>
      <c r="C142" s="688">
        <f t="shared" ref="C142:C157" si="68">E142-D142</f>
        <v>45944</v>
      </c>
      <c r="D142" s="687">
        <v>90</v>
      </c>
      <c r="E142" s="688">
        <v>46034</v>
      </c>
      <c r="F142" s="823">
        <v>77175</v>
      </c>
      <c r="G142" s="689">
        <f t="shared" ref="G142:G150" si="69">F142*H142</f>
        <v>21728621.25</v>
      </c>
      <c r="H142" s="761">
        <v>281.55</v>
      </c>
      <c r="I142" s="687">
        <v>90</v>
      </c>
      <c r="J142" s="690"/>
      <c r="K142" s="690"/>
      <c r="L142" s="691">
        <f>G142*P234/36500</f>
        <v>7334.1538027397264</v>
      </c>
      <c r="M142" s="691">
        <f t="shared" ref="M142:M157" si="70">L142*I142</f>
        <v>660073.8422465754</v>
      </c>
      <c r="N142" s="691">
        <f t="shared" ref="N142:N157" si="71">M142-K142</f>
        <v>660073.8422465754</v>
      </c>
      <c r="O142" s="691">
        <f t="shared" si="61"/>
        <v>0.69999999999998863</v>
      </c>
      <c r="P142" s="691">
        <f t="shared" ref="P142:P157" si="72">O142*F142</f>
        <v>54022.49999999912</v>
      </c>
      <c r="Q142" s="691">
        <f t="shared" ref="Q142:Q157" si="73">N142+P142</f>
        <v>714096.34224657447</v>
      </c>
      <c r="R142" s="798">
        <v>280.85000000000002</v>
      </c>
      <c r="S142" s="718" t="s">
        <v>340</v>
      </c>
    </row>
    <row r="143" spans="1:19" s="711" customFormat="1" hidden="1" x14ac:dyDescent="0.3">
      <c r="A143" s="747" t="s">
        <v>205</v>
      </c>
      <c r="B143" s="687"/>
      <c r="C143" s="688">
        <f t="shared" si="68"/>
        <v>45944</v>
      </c>
      <c r="D143" s="687">
        <v>90</v>
      </c>
      <c r="E143" s="688">
        <v>46034</v>
      </c>
      <c r="F143" s="823">
        <v>231525</v>
      </c>
      <c r="G143" s="689">
        <f t="shared" si="69"/>
        <v>65185863.75</v>
      </c>
      <c r="H143" s="761">
        <v>281.55</v>
      </c>
      <c r="I143" s="687">
        <v>90</v>
      </c>
      <c r="J143" s="690"/>
      <c r="K143" s="690"/>
      <c r="L143" s="691">
        <f>G143*P229/36500</f>
        <v>22645.390475342465</v>
      </c>
      <c r="M143" s="691">
        <f t="shared" si="70"/>
        <v>2038085.1427808218</v>
      </c>
      <c r="N143" s="691">
        <f t="shared" si="71"/>
        <v>2038085.1427808218</v>
      </c>
      <c r="O143" s="691">
        <f t="shared" si="61"/>
        <v>5.0000000000011369E-2</v>
      </c>
      <c r="P143" s="691">
        <f t="shared" si="72"/>
        <v>11576.250000002632</v>
      </c>
      <c r="Q143" s="691">
        <f t="shared" si="73"/>
        <v>2049661.3927808243</v>
      </c>
      <c r="R143" s="798">
        <v>281.5</v>
      </c>
      <c r="S143" s="718" t="s">
        <v>360</v>
      </c>
    </row>
    <row r="144" spans="1:19" s="711" customFormat="1" hidden="1" x14ac:dyDescent="0.3">
      <c r="A144" s="747" t="s">
        <v>338</v>
      </c>
      <c r="B144" s="687"/>
      <c r="C144" s="688">
        <f t="shared" si="68"/>
        <v>45944</v>
      </c>
      <c r="D144" s="687">
        <v>90</v>
      </c>
      <c r="E144" s="688">
        <v>46034</v>
      </c>
      <c r="F144" s="823">
        <v>192937.5</v>
      </c>
      <c r="G144" s="689">
        <f t="shared" si="69"/>
        <v>54369787.5</v>
      </c>
      <c r="H144" s="761">
        <v>281.8</v>
      </c>
      <c r="I144" s="687">
        <v>90</v>
      </c>
      <c r="J144" s="690"/>
      <c r="K144" s="690"/>
      <c r="L144" s="691">
        <f>G144*P228/36500</f>
        <v>18828.331890410958</v>
      </c>
      <c r="M144" s="691">
        <f t="shared" si="70"/>
        <v>1694549.8701369863</v>
      </c>
      <c r="N144" s="691">
        <f t="shared" si="71"/>
        <v>1694549.8701369863</v>
      </c>
      <c r="O144" s="691">
        <f t="shared" si="61"/>
        <v>0.80000000000001137</v>
      </c>
      <c r="P144" s="691">
        <f t="shared" si="72"/>
        <v>154350.00000000218</v>
      </c>
      <c r="Q144" s="691">
        <f t="shared" si="73"/>
        <v>1848899.8701369883</v>
      </c>
      <c r="R144" s="798">
        <v>281</v>
      </c>
      <c r="S144" s="718" t="s">
        <v>340</v>
      </c>
    </row>
    <row r="145" spans="1:19" s="711" customFormat="1" hidden="1" x14ac:dyDescent="0.3">
      <c r="A145" s="747" t="s">
        <v>365</v>
      </c>
      <c r="B145" s="687"/>
      <c r="C145" s="688">
        <f t="shared" si="68"/>
        <v>45950</v>
      </c>
      <c r="D145" s="687">
        <v>90</v>
      </c>
      <c r="E145" s="688">
        <v>46040</v>
      </c>
      <c r="F145" s="823">
        <v>53864.85</v>
      </c>
      <c r="G145" s="689">
        <f t="shared" si="69"/>
        <v>15162955.275</v>
      </c>
      <c r="H145" s="761">
        <v>281.5</v>
      </c>
      <c r="I145" s="687">
        <v>90</v>
      </c>
      <c r="J145" s="690"/>
      <c r="K145" s="690"/>
      <c r="L145" s="691">
        <f>G145*P230/36500</f>
        <v>5250.9521829041096</v>
      </c>
      <c r="M145" s="691">
        <f t="shared" si="70"/>
        <v>472585.69646136987</v>
      </c>
      <c r="N145" s="691">
        <f t="shared" si="71"/>
        <v>472585.69646136987</v>
      </c>
      <c r="O145" s="691">
        <f t="shared" si="61"/>
        <v>0.5</v>
      </c>
      <c r="P145" s="691">
        <f t="shared" si="72"/>
        <v>26932.424999999999</v>
      </c>
      <c r="Q145" s="691">
        <f t="shared" si="73"/>
        <v>499518.12146136985</v>
      </c>
      <c r="R145" s="798">
        <v>281</v>
      </c>
      <c r="S145" s="718" t="s">
        <v>340</v>
      </c>
    </row>
    <row r="146" spans="1:19" s="711" customFormat="1" hidden="1" x14ac:dyDescent="0.3">
      <c r="A146" s="747" t="s">
        <v>67</v>
      </c>
      <c r="B146" s="687"/>
      <c r="C146" s="688">
        <f t="shared" si="68"/>
        <v>45952</v>
      </c>
      <c r="D146" s="687">
        <v>90</v>
      </c>
      <c r="E146" s="688">
        <v>46042</v>
      </c>
      <c r="F146" s="823">
        <v>45600</v>
      </c>
      <c r="G146" s="689">
        <f t="shared" si="69"/>
        <v>12852360.000000002</v>
      </c>
      <c r="H146" s="761">
        <v>281.85000000000002</v>
      </c>
      <c r="I146" s="687">
        <v>90</v>
      </c>
      <c r="J146" s="690"/>
      <c r="K146" s="690"/>
      <c r="L146" s="691">
        <f>G146*P231/36500</f>
        <v>4362.7600109589048</v>
      </c>
      <c r="M146" s="691">
        <f t="shared" si="70"/>
        <v>392648.40098630142</v>
      </c>
      <c r="N146" s="691">
        <f t="shared" si="71"/>
        <v>392648.40098630142</v>
      </c>
      <c r="O146" s="691">
        <f t="shared" si="61"/>
        <v>0.95000000000004547</v>
      </c>
      <c r="P146" s="691">
        <f t="shared" si="72"/>
        <v>43320.000000002074</v>
      </c>
      <c r="Q146" s="691">
        <f t="shared" si="73"/>
        <v>435968.40098630352</v>
      </c>
      <c r="R146" s="798">
        <v>280.89999999999998</v>
      </c>
      <c r="S146" s="718" t="s">
        <v>340</v>
      </c>
    </row>
    <row r="147" spans="1:19" s="711" customFormat="1" hidden="1" x14ac:dyDescent="0.3">
      <c r="A147" s="747" t="s">
        <v>327</v>
      </c>
      <c r="B147" s="687"/>
      <c r="C147" s="688">
        <f t="shared" si="68"/>
        <v>45958</v>
      </c>
      <c r="D147" s="687">
        <v>90</v>
      </c>
      <c r="E147" s="688">
        <v>46048</v>
      </c>
      <c r="F147" s="823">
        <v>15673.6</v>
      </c>
      <c r="G147" s="689">
        <f t="shared" si="69"/>
        <v>4410551.04</v>
      </c>
      <c r="H147" s="761">
        <v>281.39999999999998</v>
      </c>
      <c r="I147" s="687">
        <v>90</v>
      </c>
      <c r="J147" s="690"/>
      <c r="K147" s="690"/>
      <c r="L147" s="691">
        <f>G147*P232/36500</f>
        <v>1562.4226012931506</v>
      </c>
      <c r="M147" s="691">
        <f t="shared" si="70"/>
        <v>140618.03411638355</v>
      </c>
      <c r="N147" s="691">
        <f t="shared" si="71"/>
        <v>140618.03411638355</v>
      </c>
      <c r="O147" s="691">
        <f t="shared" si="61"/>
        <v>0.39999999999997726</v>
      </c>
      <c r="P147" s="691">
        <f t="shared" si="72"/>
        <v>6269.439999999644</v>
      </c>
      <c r="Q147" s="691">
        <f t="shared" si="73"/>
        <v>146887.47411638321</v>
      </c>
      <c r="R147" s="798">
        <v>281</v>
      </c>
      <c r="S147" s="718" t="s">
        <v>362</v>
      </c>
    </row>
    <row r="148" spans="1:19" s="711" customFormat="1" hidden="1" x14ac:dyDescent="0.3">
      <c r="A148" s="747" t="s">
        <v>206</v>
      </c>
      <c r="B148" s="687"/>
      <c r="C148" s="688">
        <f t="shared" si="68"/>
        <v>45991</v>
      </c>
      <c r="D148" s="687">
        <v>60</v>
      </c>
      <c r="E148" s="688">
        <v>46051</v>
      </c>
      <c r="F148" s="823">
        <v>49600</v>
      </c>
      <c r="G148" s="689">
        <f t="shared" si="69"/>
        <v>13935120</v>
      </c>
      <c r="H148" s="761">
        <v>280.95</v>
      </c>
      <c r="I148" s="687">
        <v>90</v>
      </c>
      <c r="J148" s="690"/>
      <c r="K148" s="690"/>
      <c r="L148" s="691">
        <f>G148*P225/36500</f>
        <v>4951.7399013698632</v>
      </c>
      <c r="M148" s="691">
        <f t="shared" si="70"/>
        <v>445656.59112328768</v>
      </c>
      <c r="N148" s="691">
        <f t="shared" si="71"/>
        <v>445656.59112328768</v>
      </c>
      <c r="O148" s="691">
        <f t="shared" si="61"/>
        <v>0.59999999999996589</v>
      </c>
      <c r="P148" s="691">
        <f t="shared" si="72"/>
        <v>29759.999999998308</v>
      </c>
      <c r="Q148" s="691">
        <f t="shared" si="73"/>
        <v>475416.59112328599</v>
      </c>
      <c r="R148" s="798">
        <v>280.35000000000002</v>
      </c>
      <c r="S148" s="718" t="s">
        <v>362</v>
      </c>
    </row>
    <row r="149" spans="1:19" s="711" customFormat="1" hidden="1" x14ac:dyDescent="0.3">
      <c r="A149" s="747" t="s">
        <v>67</v>
      </c>
      <c r="B149" s="687"/>
      <c r="C149" s="688">
        <f t="shared" si="68"/>
        <v>45958</v>
      </c>
      <c r="D149" s="687">
        <v>90</v>
      </c>
      <c r="E149" s="688">
        <v>46048</v>
      </c>
      <c r="F149" s="823">
        <v>45600</v>
      </c>
      <c r="G149" s="689">
        <f t="shared" si="69"/>
        <v>12852360.000000002</v>
      </c>
      <c r="H149" s="761">
        <v>281.85000000000002</v>
      </c>
      <c r="I149" s="687">
        <v>90</v>
      </c>
      <c r="J149" s="690"/>
      <c r="K149" s="690"/>
      <c r="L149" s="691">
        <f>G149*P231/36500</f>
        <v>4362.7600109589048</v>
      </c>
      <c r="M149" s="691">
        <f t="shared" si="70"/>
        <v>392648.40098630142</v>
      </c>
      <c r="N149" s="691">
        <f t="shared" si="71"/>
        <v>392648.40098630142</v>
      </c>
      <c r="O149" s="691">
        <f t="shared" si="61"/>
        <v>0.85000000000002274</v>
      </c>
      <c r="P149" s="691">
        <f t="shared" si="72"/>
        <v>38760.000000001033</v>
      </c>
      <c r="Q149" s="691">
        <f t="shared" si="73"/>
        <v>431408.40098630247</v>
      </c>
      <c r="R149" s="798">
        <v>281</v>
      </c>
      <c r="S149" s="718" t="s">
        <v>340</v>
      </c>
    </row>
    <row r="150" spans="1:19" s="711" customFormat="1" hidden="1" x14ac:dyDescent="0.3">
      <c r="A150" s="747" t="s">
        <v>66</v>
      </c>
      <c r="B150" s="687"/>
      <c r="C150" s="688">
        <f t="shared" si="68"/>
        <v>45962</v>
      </c>
      <c r="D150" s="687">
        <v>90</v>
      </c>
      <c r="E150" s="688">
        <v>46052</v>
      </c>
      <c r="F150" s="823">
        <v>241250</v>
      </c>
      <c r="G150" s="689">
        <f t="shared" si="69"/>
        <v>67863625</v>
      </c>
      <c r="H150" s="761">
        <v>281.3</v>
      </c>
      <c r="I150" s="687">
        <v>90</v>
      </c>
      <c r="J150" s="690"/>
      <c r="K150" s="690"/>
      <c r="L150" s="691">
        <f>G150*P227/36500</f>
        <v>23835.936232876713</v>
      </c>
      <c r="M150" s="691">
        <f t="shared" si="70"/>
        <v>2145234.2609589039</v>
      </c>
      <c r="N150" s="691">
        <f t="shared" si="71"/>
        <v>2145234.2609589039</v>
      </c>
      <c r="O150" s="691">
        <f t="shared" si="61"/>
        <v>0.40000000000003411</v>
      </c>
      <c r="P150" s="691">
        <f t="shared" si="72"/>
        <v>96500.000000008222</v>
      </c>
      <c r="Q150" s="691">
        <f t="shared" si="73"/>
        <v>2241734.2609589123</v>
      </c>
      <c r="R150" s="798">
        <v>280.89999999999998</v>
      </c>
      <c r="S150" s="718" t="s">
        <v>363</v>
      </c>
    </row>
    <row r="151" spans="1:19" s="711" customFormat="1" hidden="1" x14ac:dyDescent="0.3">
      <c r="A151" s="747" t="s">
        <v>69</v>
      </c>
      <c r="B151" s="687"/>
      <c r="C151" s="688">
        <f t="shared" si="68"/>
        <v>45964</v>
      </c>
      <c r="D151" s="687">
        <v>90</v>
      </c>
      <c r="E151" s="688">
        <v>46054</v>
      </c>
      <c r="F151" s="823">
        <v>17850</v>
      </c>
      <c r="G151" s="689">
        <f t="shared" ref="G151:G156" si="74">F151*H151</f>
        <v>5021205</v>
      </c>
      <c r="H151" s="761">
        <v>281.3</v>
      </c>
      <c r="I151" s="687">
        <v>90</v>
      </c>
      <c r="J151" s="690"/>
      <c r="K151" s="690"/>
      <c r="L151" s="691">
        <f>G151*P233/36500</f>
        <v>1709.9610452054794</v>
      </c>
      <c r="M151" s="691">
        <f t="shared" si="70"/>
        <v>153896.49406849314</v>
      </c>
      <c r="N151" s="691">
        <f t="shared" si="71"/>
        <v>153896.49406849314</v>
      </c>
      <c r="O151" s="691">
        <f t="shared" ref="O151:O156" si="75">H151-R151</f>
        <v>-0.5</v>
      </c>
      <c r="P151" s="691">
        <f t="shared" si="72"/>
        <v>-8925</v>
      </c>
      <c r="Q151" s="691">
        <f t="shared" si="73"/>
        <v>144971.49406849314</v>
      </c>
      <c r="R151" s="798">
        <v>281.8</v>
      </c>
      <c r="S151" s="718" t="s">
        <v>340</v>
      </c>
    </row>
    <row r="152" spans="1:19" s="711" customFormat="1" ht="15" hidden="1" customHeight="1" x14ac:dyDescent="0.3">
      <c r="A152" s="747" t="s">
        <v>206</v>
      </c>
      <c r="B152" s="687"/>
      <c r="C152" s="688">
        <f t="shared" si="68"/>
        <v>45606</v>
      </c>
      <c r="D152" s="687">
        <v>90</v>
      </c>
      <c r="E152" s="688">
        <v>45696</v>
      </c>
      <c r="F152" s="823">
        <v>4200</v>
      </c>
      <c r="G152" s="689">
        <f t="shared" si="74"/>
        <v>1181460</v>
      </c>
      <c r="H152" s="761">
        <v>281.3</v>
      </c>
      <c r="I152" s="687">
        <v>90</v>
      </c>
      <c r="J152" s="690"/>
      <c r="K152" s="690"/>
      <c r="L152" s="691">
        <f>G152*P225/36500</f>
        <v>419.8229095890411</v>
      </c>
      <c r="M152" s="691">
        <f t="shared" si="70"/>
        <v>37784.061863013696</v>
      </c>
      <c r="N152" s="691">
        <f t="shared" si="71"/>
        <v>37784.061863013696</v>
      </c>
      <c r="O152" s="691">
        <f t="shared" si="75"/>
        <v>1</v>
      </c>
      <c r="P152" s="691">
        <f t="shared" si="72"/>
        <v>4200</v>
      </c>
      <c r="Q152" s="691">
        <f t="shared" si="73"/>
        <v>41984.061863013696</v>
      </c>
      <c r="R152" s="798">
        <v>280.3</v>
      </c>
      <c r="S152" s="718" t="s">
        <v>340</v>
      </c>
    </row>
    <row r="153" spans="1:19" s="711" customFormat="1" hidden="1" x14ac:dyDescent="0.3">
      <c r="A153" s="747" t="s">
        <v>91</v>
      </c>
      <c r="B153" s="687"/>
      <c r="C153" s="688">
        <f t="shared" si="68"/>
        <v>45982</v>
      </c>
      <c r="D153" s="687">
        <v>90</v>
      </c>
      <c r="E153" s="688">
        <v>46072</v>
      </c>
      <c r="F153" s="823">
        <v>86100</v>
      </c>
      <c r="G153" s="689">
        <f t="shared" si="74"/>
        <v>24198405</v>
      </c>
      <c r="H153" s="761">
        <v>281.05</v>
      </c>
      <c r="I153" s="687">
        <v>90</v>
      </c>
      <c r="J153" s="690"/>
      <c r="K153" s="690"/>
      <c r="L153" s="691">
        <f>G153*P234/36500</f>
        <v>8167.7904000000008</v>
      </c>
      <c r="M153" s="691">
        <f t="shared" si="70"/>
        <v>735101.13600000006</v>
      </c>
      <c r="N153" s="691">
        <f t="shared" si="71"/>
        <v>735101.13600000006</v>
      </c>
      <c r="O153" s="691">
        <f t="shared" si="75"/>
        <v>0.35000000000002274</v>
      </c>
      <c r="P153" s="691">
        <f t="shared" si="72"/>
        <v>30135.000000001957</v>
      </c>
      <c r="Q153" s="691">
        <f t="shared" si="73"/>
        <v>765236.13600000204</v>
      </c>
      <c r="R153" s="798">
        <v>280.7</v>
      </c>
      <c r="S153" s="718" t="s">
        <v>340</v>
      </c>
    </row>
    <row r="154" spans="1:19" s="711" customFormat="1" hidden="1" x14ac:dyDescent="0.3">
      <c r="A154" s="747" t="s">
        <v>91</v>
      </c>
      <c r="B154" s="687"/>
      <c r="C154" s="688">
        <f t="shared" si="68"/>
        <v>45981</v>
      </c>
      <c r="D154" s="687">
        <v>90</v>
      </c>
      <c r="E154" s="688">
        <v>46071</v>
      </c>
      <c r="F154" s="823">
        <v>51000</v>
      </c>
      <c r="G154" s="689">
        <f t="shared" si="74"/>
        <v>14333550</v>
      </c>
      <c r="H154" s="761">
        <v>281.05</v>
      </c>
      <c r="I154" s="687">
        <v>90</v>
      </c>
      <c r="J154" s="690"/>
      <c r="K154" s="690"/>
      <c r="L154" s="691">
        <f>G154*P234/36500</f>
        <v>4838.0640000000003</v>
      </c>
      <c r="M154" s="691">
        <f t="shared" si="70"/>
        <v>435425.76</v>
      </c>
      <c r="N154" s="691">
        <f t="shared" si="71"/>
        <v>435425.76</v>
      </c>
      <c r="O154" s="691">
        <f t="shared" si="75"/>
        <v>0.40000000000003411</v>
      </c>
      <c r="P154" s="691">
        <f t="shared" si="72"/>
        <v>20400.000000001739</v>
      </c>
      <c r="Q154" s="691">
        <f t="shared" si="73"/>
        <v>455825.76000000176</v>
      </c>
      <c r="R154" s="798">
        <v>280.64999999999998</v>
      </c>
      <c r="S154" s="718" t="s">
        <v>340</v>
      </c>
    </row>
    <row r="155" spans="1:19" s="711" customFormat="1" hidden="1" x14ac:dyDescent="0.3">
      <c r="A155" s="747" t="s">
        <v>206</v>
      </c>
      <c r="B155" s="687"/>
      <c r="C155" s="688">
        <f t="shared" si="68"/>
        <v>46008</v>
      </c>
      <c r="D155" s="687">
        <v>60</v>
      </c>
      <c r="E155" s="688">
        <v>46068</v>
      </c>
      <c r="F155" s="823">
        <v>47250</v>
      </c>
      <c r="G155" s="689">
        <f t="shared" si="74"/>
        <v>13263075</v>
      </c>
      <c r="H155" s="761">
        <v>280.7</v>
      </c>
      <c r="I155" s="687">
        <v>90</v>
      </c>
      <c r="J155" s="690"/>
      <c r="K155" s="690"/>
      <c r="L155" s="691">
        <f>G155*P225/36500</f>
        <v>4712.9337739726025</v>
      </c>
      <c r="M155" s="691">
        <f t="shared" si="70"/>
        <v>424164.03965753422</v>
      </c>
      <c r="N155" s="691">
        <f t="shared" si="71"/>
        <v>424164.03965753422</v>
      </c>
      <c r="O155" s="691">
        <f t="shared" si="75"/>
        <v>0.39999999999997726</v>
      </c>
      <c r="P155" s="691">
        <f t="shared" si="72"/>
        <v>18899.999999998927</v>
      </c>
      <c r="Q155" s="691">
        <f t="shared" si="73"/>
        <v>443064.03965753317</v>
      </c>
      <c r="R155" s="798">
        <v>280.3</v>
      </c>
      <c r="S155" s="718" t="s">
        <v>360</v>
      </c>
    </row>
    <row r="156" spans="1:19" s="711" customFormat="1" hidden="1" x14ac:dyDescent="0.3">
      <c r="A156" s="747" t="s">
        <v>206</v>
      </c>
      <c r="B156" s="687"/>
      <c r="C156" s="688">
        <f t="shared" si="68"/>
        <v>45981</v>
      </c>
      <c r="D156" s="687">
        <v>90</v>
      </c>
      <c r="E156" s="688">
        <v>46071</v>
      </c>
      <c r="F156" s="823">
        <v>44640</v>
      </c>
      <c r="G156" s="689">
        <f t="shared" si="74"/>
        <v>12546072</v>
      </c>
      <c r="H156" s="761">
        <v>281.05</v>
      </c>
      <c r="I156" s="687">
        <v>90</v>
      </c>
      <c r="J156" s="690"/>
      <c r="K156" s="690"/>
      <c r="L156" s="691">
        <f>G156*P225/36500</f>
        <v>4458.1521600000005</v>
      </c>
      <c r="M156" s="691">
        <f t="shared" si="70"/>
        <v>401233.69440000004</v>
      </c>
      <c r="N156" s="691">
        <f t="shared" si="71"/>
        <v>401233.69440000004</v>
      </c>
      <c r="O156" s="691">
        <f t="shared" si="75"/>
        <v>0.90000000000003411</v>
      </c>
      <c r="P156" s="691">
        <f t="shared" si="72"/>
        <v>40176.000000001521</v>
      </c>
      <c r="Q156" s="691">
        <f t="shared" si="73"/>
        <v>441409.69440000155</v>
      </c>
      <c r="R156" s="798">
        <v>280.14999999999998</v>
      </c>
      <c r="S156" s="718" t="s">
        <v>340</v>
      </c>
    </row>
    <row r="157" spans="1:19" s="711" customFormat="1" hidden="1" x14ac:dyDescent="0.3">
      <c r="A157" s="747" t="s">
        <v>327</v>
      </c>
      <c r="B157" s="687"/>
      <c r="C157" s="688">
        <f t="shared" si="68"/>
        <v>45992</v>
      </c>
      <c r="D157" s="687">
        <v>90</v>
      </c>
      <c r="E157" s="688">
        <v>46082</v>
      </c>
      <c r="F157" s="823">
        <v>44640</v>
      </c>
      <c r="G157" s="689">
        <f>F157*H157</f>
        <v>12539375.999999998</v>
      </c>
      <c r="H157" s="761">
        <v>280.89999999999998</v>
      </c>
      <c r="I157" s="687">
        <v>90</v>
      </c>
      <c r="J157" s="690"/>
      <c r="K157" s="690"/>
      <c r="L157" s="691">
        <f>G157*P232/36500</f>
        <v>4442.0310049315058</v>
      </c>
      <c r="M157" s="691">
        <f t="shared" si="70"/>
        <v>399782.79044383555</v>
      </c>
      <c r="N157" s="691">
        <f t="shared" si="71"/>
        <v>399782.79044383555</v>
      </c>
      <c r="O157" s="691">
        <f>H157-R157</f>
        <v>-1.4500000000000455</v>
      </c>
      <c r="P157" s="691">
        <f t="shared" si="72"/>
        <v>-64728.00000000203</v>
      </c>
      <c r="Q157" s="691">
        <f t="shared" si="73"/>
        <v>335054.79044383351</v>
      </c>
      <c r="R157" s="798">
        <v>282.35000000000002</v>
      </c>
      <c r="S157" s="718" t="s">
        <v>363</v>
      </c>
    </row>
    <row r="158" spans="1:19" s="711" customFormat="1" hidden="1" x14ac:dyDescent="0.3">
      <c r="A158" s="747" t="s">
        <v>205</v>
      </c>
      <c r="B158" s="687"/>
      <c r="C158" s="688">
        <f t="shared" ref="C158:C163" si="76">E158-D158</f>
        <v>45993</v>
      </c>
      <c r="D158" s="687">
        <v>90</v>
      </c>
      <c r="E158" s="688">
        <v>46083</v>
      </c>
      <c r="F158" s="823">
        <v>141000</v>
      </c>
      <c r="G158" s="689">
        <f t="shared" ref="G158:G163" si="77">F158*H158</f>
        <v>39606900</v>
      </c>
      <c r="H158" s="761">
        <v>280.89999999999998</v>
      </c>
      <c r="I158" s="687">
        <v>90</v>
      </c>
      <c r="J158" s="690"/>
      <c r="K158" s="690"/>
      <c r="L158" s="691">
        <f>G158*P229/36500</f>
        <v>13759.328547945206</v>
      </c>
      <c r="M158" s="691">
        <f t="shared" ref="M158:M163" si="78">L158*I158</f>
        <v>1238339.5693150687</v>
      </c>
      <c r="N158" s="691">
        <f t="shared" ref="N158:N163" si="79">M158-K158</f>
        <v>1238339.5693150687</v>
      </c>
      <c r="O158" s="691">
        <f t="shared" ref="O158:O163" si="80">H158-R158</f>
        <v>-0.70000000000004547</v>
      </c>
      <c r="P158" s="691">
        <f t="shared" ref="P158:P163" si="81">O158*F158</f>
        <v>-98700.000000006417</v>
      </c>
      <c r="Q158" s="691">
        <f t="shared" ref="Q158:Q163" si="82">N158+P158</f>
        <v>1139639.5693150621</v>
      </c>
      <c r="R158" s="798">
        <v>281.60000000000002</v>
      </c>
      <c r="S158" s="718" t="s">
        <v>363</v>
      </c>
    </row>
    <row r="159" spans="1:19" s="711" customFormat="1" hidden="1" x14ac:dyDescent="0.3">
      <c r="A159" s="747" t="s">
        <v>361</v>
      </c>
      <c r="B159" s="687"/>
      <c r="C159" s="688">
        <f t="shared" si="76"/>
        <v>45993</v>
      </c>
      <c r="D159" s="687">
        <v>90</v>
      </c>
      <c r="E159" s="688">
        <v>46083</v>
      </c>
      <c r="F159" s="823">
        <v>48240</v>
      </c>
      <c r="G159" s="689">
        <f t="shared" si="77"/>
        <v>13550615.999999998</v>
      </c>
      <c r="H159" s="761">
        <v>280.89999999999998</v>
      </c>
      <c r="I159" s="687">
        <v>90</v>
      </c>
      <c r="J159" s="690"/>
      <c r="K159" s="690"/>
      <c r="L159" s="691">
        <f>G159*P235/36500</f>
        <v>4841.096784657534</v>
      </c>
      <c r="M159" s="691">
        <f t="shared" si="78"/>
        <v>435698.71061917808</v>
      </c>
      <c r="N159" s="691">
        <f t="shared" si="79"/>
        <v>435698.71061917808</v>
      </c>
      <c r="O159" s="691">
        <f t="shared" si="80"/>
        <v>0.69999999999998863</v>
      </c>
      <c r="P159" s="691">
        <f t="shared" si="81"/>
        <v>33767.999999999454</v>
      </c>
      <c r="Q159" s="691">
        <f t="shared" si="82"/>
        <v>469466.71061917755</v>
      </c>
      <c r="R159" s="798">
        <v>280.2</v>
      </c>
      <c r="S159" s="718" t="s">
        <v>363</v>
      </c>
    </row>
    <row r="160" spans="1:19" s="711" customFormat="1" hidden="1" x14ac:dyDescent="0.3">
      <c r="A160" s="747" t="s">
        <v>67</v>
      </c>
      <c r="B160" s="687"/>
      <c r="C160" s="688">
        <f t="shared" si="76"/>
        <v>45990</v>
      </c>
      <c r="D160" s="687">
        <v>90</v>
      </c>
      <c r="E160" s="688">
        <v>46080</v>
      </c>
      <c r="F160" s="823">
        <v>203500</v>
      </c>
      <c r="G160" s="689">
        <f t="shared" si="77"/>
        <v>57173325</v>
      </c>
      <c r="H160" s="761">
        <v>280.95</v>
      </c>
      <c r="I160" s="687">
        <v>90</v>
      </c>
      <c r="J160" s="690"/>
      <c r="K160" s="690"/>
      <c r="L160" s="691">
        <f>G160*P231/36500</f>
        <v>19407.60265068493</v>
      </c>
      <c r="M160" s="691">
        <f t="shared" si="78"/>
        <v>1746684.2385616438</v>
      </c>
      <c r="N160" s="691">
        <f t="shared" si="79"/>
        <v>1746684.2385616438</v>
      </c>
      <c r="O160" s="691">
        <f t="shared" si="80"/>
        <v>0.34999999999996589</v>
      </c>
      <c r="P160" s="691">
        <f t="shared" si="81"/>
        <v>71224.999999993059</v>
      </c>
      <c r="Q160" s="691">
        <f t="shared" si="82"/>
        <v>1817909.2385616368</v>
      </c>
      <c r="R160" s="798">
        <v>280.60000000000002</v>
      </c>
      <c r="S160" s="718" t="s">
        <v>363</v>
      </c>
    </row>
    <row r="161" spans="1:19" s="711" customFormat="1" hidden="1" x14ac:dyDescent="0.3">
      <c r="A161" s="747" t="s">
        <v>206</v>
      </c>
      <c r="B161" s="687"/>
      <c r="C161" s="688">
        <f t="shared" si="76"/>
        <v>45990</v>
      </c>
      <c r="D161" s="687">
        <v>90</v>
      </c>
      <c r="E161" s="688">
        <v>46080</v>
      </c>
      <c r="F161" s="823">
        <v>203500</v>
      </c>
      <c r="G161" s="689">
        <f t="shared" si="77"/>
        <v>57173325</v>
      </c>
      <c r="H161" s="761">
        <v>280.95</v>
      </c>
      <c r="I161" s="687">
        <v>90</v>
      </c>
      <c r="J161" s="690"/>
      <c r="K161" s="690"/>
      <c r="L161" s="691">
        <f>G161*P225/36500</f>
        <v>20316.110280821918</v>
      </c>
      <c r="M161" s="691">
        <f t="shared" si="78"/>
        <v>1828449.9252739726</v>
      </c>
      <c r="N161" s="691">
        <f t="shared" si="79"/>
        <v>1828449.9252739726</v>
      </c>
      <c r="O161" s="691">
        <f t="shared" si="80"/>
        <v>0.84999999999996589</v>
      </c>
      <c r="P161" s="691">
        <f t="shared" si="81"/>
        <v>172974.99999999307</v>
      </c>
      <c r="Q161" s="691">
        <f t="shared" si="82"/>
        <v>2001424.9252739656</v>
      </c>
      <c r="R161" s="798">
        <v>280.10000000000002</v>
      </c>
      <c r="S161" s="718" t="s">
        <v>362</v>
      </c>
    </row>
    <row r="162" spans="1:19" s="711" customFormat="1" hidden="1" x14ac:dyDescent="0.3">
      <c r="A162" s="747" t="s">
        <v>206</v>
      </c>
      <c r="B162" s="687"/>
      <c r="C162" s="688">
        <f t="shared" si="76"/>
        <v>46009</v>
      </c>
      <c r="D162" s="687">
        <v>90</v>
      </c>
      <c r="E162" s="688">
        <v>46099</v>
      </c>
      <c r="F162" s="823">
        <v>12614</v>
      </c>
      <c r="G162" s="689">
        <f t="shared" si="77"/>
        <v>3540119.0999999996</v>
      </c>
      <c r="H162" s="761">
        <v>280.64999999999998</v>
      </c>
      <c r="I162" s="687">
        <v>90</v>
      </c>
      <c r="J162" s="690"/>
      <c r="K162" s="690"/>
      <c r="L162" s="691">
        <f>G162*P225/36500</f>
        <v>1257.9546500547945</v>
      </c>
      <c r="M162" s="691">
        <f t="shared" si="78"/>
        <v>113215.9185049315</v>
      </c>
      <c r="N162" s="691">
        <f t="shared" si="79"/>
        <v>113215.9185049315</v>
      </c>
      <c r="O162" s="691">
        <f t="shared" si="80"/>
        <v>0.75</v>
      </c>
      <c r="P162" s="691">
        <f t="shared" si="81"/>
        <v>9460.5</v>
      </c>
      <c r="Q162" s="691">
        <f t="shared" si="82"/>
        <v>122676.4185049315</v>
      </c>
      <c r="R162" s="798">
        <v>279.89999999999998</v>
      </c>
      <c r="S162" s="718" t="s">
        <v>340</v>
      </c>
    </row>
    <row r="163" spans="1:19" s="711" customFormat="1" hidden="1" x14ac:dyDescent="0.3">
      <c r="A163" s="747" t="s">
        <v>206</v>
      </c>
      <c r="B163" s="687"/>
      <c r="C163" s="688">
        <f t="shared" si="76"/>
        <v>46009</v>
      </c>
      <c r="D163" s="687">
        <v>90</v>
      </c>
      <c r="E163" s="688">
        <v>46099</v>
      </c>
      <c r="F163" s="823">
        <v>17848.580000000002</v>
      </c>
      <c r="G163" s="689">
        <f t="shared" si="77"/>
        <v>5009203.977</v>
      </c>
      <c r="H163" s="761">
        <v>280.64999999999998</v>
      </c>
      <c r="I163" s="687">
        <v>90</v>
      </c>
      <c r="J163" s="690"/>
      <c r="K163" s="690"/>
      <c r="L163" s="691">
        <f>G163*P225/36500</f>
        <v>1779.9828926490413</v>
      </c>
      <c r="M163" s="691">
        <f t="shared" si="78"/>
        <v>160198.46033841372</v>
      </c>
      <c r="N163" s="691">
        <f t="shared" si="79"/>
        <v>160198.46033841372</v>
      </c>
      <c r="O163" s="691">
        <f t="shared" si="80"/>
        <v>0.75</v>
      </c>
      <c r="P163" s="691">
        <f t="shared" si="81"/>
        <v>13386.435000000001</v>
      </c>
      <c r="Q163" s="691">
        <f t="shared" si="82"/>
        <v>173584.89533841371</v>
      </c>
      <c r="R163" s="798">
        <v>279.89999999999998</v>
      </c>
      <c r="S163" s="718" t="s">
        <v>340</v>
      </c>
    </row>
    <row r="164" spans="1:19" s="711" customFormat="1" hidden="1" x14ac:dyDescent="0.3">
      <c r="A164" s="747" t="s">
        <v>67</v>
      </c>
      <c r="B164" s="687"/>
      <c r="C164" s="688">
        <f>E164-D164</f>
        <v>46024</v>
      </c>
      <c r="D164" s="687">
        <v>90</v>
      </c>
      <c r="E164" s="688">
        <v>46114</v>
      </c>
      <c r="F164" s="823">
        <v>166530</v>
      </c>
      <c r="G164" s="689">
        <f>F164*H164</f>
        <v>46711665</v>
      </c>
      <c r="H164" s="761">
        <v>280.5</v>
      </c>
      <c r="I164" s="687">
        <v>90</v>
      </c>
      <c r="J164" s="690"/>
      <c r="K164" s="690"/>
      <c r="L164" s="691">
        <f>G164*P231/36500</f>
        <v>15856.370667123289</v>
      </c>
      <c r="M164" s="691">
        <f>L164*I164</f>
        <v>1427073.3600410959</v>
      </c>
      <c r="N164" s="691">
        <f>M164-K164</f>
        <v>1427073.3600410959</v>
      </c>
      <c r="O164" s="691">
        <f t="shared" ref="O164:O174" si="83">H164-R164</f>
        <v>0</v>
      </c>
      <c r="P164" s="691">
        <f>O164*F164</f>
        <v>0</v>
      </c>
      <c r="Q164" s="691">
        <f>N164+P164</f>
        <v>1427073.3600410959</v>
      </c>
      <c r="R164" s="798">
        <v>280.5</v>
      </c>
      <c r="S164" s="718" t="s">
        <v>340</v>
      </c>
    </row>
    <row r="165" spans="1:19" s="711" customFormat="1" hidden="1" x14ac:dyDescent="0.3">
      <c r="A165" s="747" t="s">
        <v>327</v>
      </c>
      <c r="B165" s="687"/>
      <c r="C165" s="688">
        <f>E165-D165</f>
        <v>46035</v>
      </c>
      <c r="D165" s="687">
        <v>90</v>
      </c>
      <c r="E165" s="688">
        <v>46125</v>
      </c>
      <c r="F165" s="823">
        <v>15405</v>
      </c>
      <c r="G165" s="689">
        <f>F165*H165</f>
        <v>4319562</v>
      </c>
      <c r="H165" s="761">
        <v>280.39999999999998</v>
      </c>
      <c r="I165" s="687">
        <v>90</v>
      </c>
      <c r="J165" s="690"/>
      <c r="K165" s="690"/>
      <c r="L165" s="691">
        <f>G165*P232/36500</f>
        <v>1530.190045479452</v>
      </c>
      <c r="M165" s="691">
        <f>L165*I165</f>
        <v>137717.10409315067</v>
      </c>
      <c r="N165" s="691">
        <f>M165-K165</f>
        <v>137717.10409315067</v>
      </c>
      <c r="O165" s="691">
        <f t="shared" si="83"/>
        <v>-0.75</v>
      </c>
      <c r="P165" s="691">
        <f>O165*F165</f>
        <v>-11553.75</v>
      </c>
      <c r="Q165" s="691">
        <f>N165+P165</f>
        <v>126163.35409315067</v>
      </c>
      <c r="R165" s="798">
        <v>281.14999999999998</v>
      </c>
      <c r="S165" s="718" t="s">
        <v>340</v>
      </c>
    </row>
    <row r="166" spans="1:19" s="711" customFormat="1" hidden="1" x14ac:dyDescent="0.3">
      <c r="A166" s="747" t="s">
        <v>67</v>
      </c>
      <c r="B166" s="687"/>
      <c r="C166" s="688">
        <f t="shared" ref="C166:C172" si="84">E166-D166</f>
        <v>46026</v>
      </c>
      <c r="D166" s="687">
        <v>90</v>
      </c>
      <c r="E166" s="688">
        <v>46116</v>
      </c>
      <c r="F166" s="823">
        <v>43920</v>
      </c>
      <c r="G166" s="689">
        <f>F166*H166</f>
        <v>12319560</v>
      </c>
      <c r="H166" s="761">
        <v>280.5</v>
      </c>
      <c r="I166" s="687">
        <v>90</v>
      </c>
      <c r="J166" s="690"/>
      <c r="K166" s="690"/>
      <c r="L166" s="691">
        <f>G166*P231/36500</f>
        <v>4181.8999561643841</v>
      </c>
      <c r="M166" s="691">
        <f t="shared" ref="M166:M172" si="85">L166*I166</f>
        <v>376370.99605479458</v>
      </c>
      <c r="N166" s="691">
        <f t="shared" ref="N166:N172" si="86">M166-K166</f>
        <v>376370.99605479458</v>
      </c>
      <c r="O166" s="691">
        <f t="shared" si="83"/>
        <v>0</v>
      </c>
      <c r="P166" s="691">
        <f t="shared" ref="P166:P172" si="87">O166*F166</f>
        <v>0</v>
      </c>
      <c r="Q166" s="691">
        <f t="shared" ref="Q166:Q172" si="88">N166+P166</f>
        <v>376370.99605479458</v>
      </c>
      <c r="R166" s="798">
        <v>280.5</v>
      </c>
      <c r="S166" s="718" t="s">
        <v>340</v>
      </c>
    </row>
    <row r="167" spans="1:19" s="711" customFormat="1" hidden="1" x14ac:dyDescent="0.3">
      <c r="A167" s="747" t="s">
        <v>69</v>
      </c>
      <c r="B167" s="687"/>
      <c r="C167" s="688">
        <f t="shared" si="84"/>
        <v>46030</v>
      </c>
      <c r="D167" s="687">
        <v>90</v>
      </c>
      <c r="E167" s="688">
        <v>46120</v>
      </c>
      <c r="F167" s="823">
        <v>195300</v>
      </c>
      <c r="G167" s="689">
        <f t="shared" ref="G167:G172" si="89">F167*H167</f>
        <v>54771885</v>
      </c>
      <c r="H167" s="761">
        <v>280.45</v>
      </c>
      <c r="I167" s="687">
        <v>90</v>
      </c>
      <c r="J167" s="690"/>
      <c r="K167" s="690"/>
      <c r="L167" s="691">
        <f>G167*P233/36500</f>
        <v>18652.45289178082</v>
      </c>
      <c r="M167" s="691">
        <f t="shared" si="85"/>
        <v>1678720.7602602737</v>
      </c>
      <c r="N167" s="691">
        <f t="shared" si="86"/>
        <v>1678720.7602602737</v>
      </c>
      <c r="O167" s="691">
        <f t="shared" si="83"/>
        <v>-0.60000000000002274</v>
      </c>
      <c r="P167" s="691">
        <f t="shared" si="87"/>
        <v>-117180.00000000444</v>
      </c>
      <c r="Q167" s="691">
        <f t="shared" si="88"/>
        <v>1561540.7602602693</v>
      </c>
      <c r="R167" s="798">
        <v>281.05</v>
      </c>
      <c r="S167" s="718" t="s">
        <v>363</v>
      </c>
    </row>
    <row r="168" spans="1:19" s="711" customFormat="1" hidden="1" x14ac:dyDescent="0.3">
      <c r="A168" s="747" t="s">
        <v>66</v>
      </c>
      <c r="B168" s="687"/>
      <c r="C168" s="688">
        <f t="shared" si="84"/>
        <v>46042</v>
      </c>
      <c r="D168" s="687">
        <v>90</v>
      </c>
      <c r="E168" s="688">
        <v>46132</v>
      </c>
      <c r="F168" s="823">
        <v>16798</v>
      </c>
      <c r="G168" s="689">
        <f t="shared" si="89"/>
        <v>4708479.4000000004</v>
      </c>
      <c r="H168" s="761">
        <v>280.3</v>
      </c>
      <c r="I168" s="687">
        <v>90</v>
      </c>
      <c r="J168" s="690"/>
      <c r="K168" s="690"/>
      <c r="L168" s="691">
        <f>G168*P227/36500</f>
        <v>1653.7727646027399</v>
      </c>
      <c r="M168" s="691">
        <f t="shared" si="85"/>
        <v>148839.54881424661</v>
      </c>
      <c r="N168" s="691">
        <f t="shared" si="86"/>
        <v>148839.54881424661</v>
      </c>
      <c r="O168" s="691">
        <f t="shared" si="83"/>
        <v>0.30000000000001137</v>
      </c>
      <c r="P168" s="691">
        <f t="shared" si="87"/>
        <v>5039.4000000001906</v>
      </c>
      <c r="Q168" s="691">
        <f t="shared" si="88"/>
        <v>153878.9488142468</v>
      </c>
      <c r="R168" s="798">
        <v>280</v>
      </c>
      <c r="S168" s="718" t="s">
        <v>363</v>
      </c>
    </row>
    <row r="169" spans="1:19" s="711" customFormat="1" hidden="1" x14ac:dyDescent="0.3">
      <c r="A169" s="747" t="s">
        <v>206</v>
      </c>
      <c r="B169" s="687"/>
      <c r="C169" s="688">
        <f t="shared" si="84"/>
        <v>46042</v>
      </c>
      <c r="D169" s="687">
        <v>90</v>
      </c>
      <c r="E169" s="688">
        <v>46132</v>
      </c>
      <c r="F169" s="823">
        <v>14537.6</v>
      </c>
      <c r="G169" s="689">
        <f t="shared" si="89"/>
        <v>4076343.0399999996</v>
      </c>
      <c r="H169" s="761">
        <v>280.39999999999998</v>
      </c>
      <c r="I169" s="687">
        <v>90</v>
      </c>
      <c r="J169" s="690"/>
      <c r="K169" s="690"/>
      <c r="L169" s="691">
        <f>G169*P225/36500</f>
        <v>1448.4977870904108</v>
      </c>
      <c r="M169" s="691">
        <f t="shared" si="85"/>
        <v>130364.80083813697</v>
      </c>
      <c r="N169" s="691">
        <f t="shared" si="86"/>
        <v>130364.80083813697</v>
      </c>
      <c r="O169" s="691">
        <f t="shared" si="83"/>
        <v>0.89999999999997726</v>
      </c>
      <c r="P169" s="691">
        <f t="shared" si="87"/>
        <v>13083.839999999669</v>
      </c>
      <c r="Q169" s="691">
        <f t="shared" si="88"/>
        <v>143448.64083813663</v>
      </c>
      <c r="R169" s="798">
        <v>279.5</v>
      </c>
      <c r="S169" s="718" t="s">
        <v>363</v>
      </c>
    </row>
    <row r="170" spans="1:19" s="711" customFormat="1" hidden="1" x14ac:dyDescent="0.3">
      <c r="A170" s="747" t="s">
        <v>66</v>
      </c>
      <c r="B170" s="687"/>
      <c r="C170" s="688">
        <f t="shared" si="84"/>
        <v>46045</v>
      </c>
      <c r="D170" s="687">
        <v>90</v>
      </c>
      <c r="E170" s="688">
        <v>46135</v>
      </c>
      <c r="F170" s="823">
        <v>16798</v>
      </c>
      <c r="G170" s="689">
        <f t="shared" si="89"/>
        <v>4707639.5</v>
      </c>
      <c r="H170" s="761">
        <v>280.25</v>
      </c>
      <c r="I170" s="687">
        <v>90</v>
      </c>
      <c r="J170" s="690"/>
      <c r="K170" s="690"/>
      <c r="L170" s="691">
        <f>G170*P227/36500</f>
        <v>1653.4777641095891</v>
      </c>
      <c r="M170" s="691">
        <f t="shared" si="85"/>
        <v>148812.99876986301</v>
      </c>
      <c r="N170" s="691">
        <f t="shared" si="86"/>
        <v>148812.99876986301</v>
      </c>
      <c r="O170" s="691">
        <f t="shared" si="83"/>
        <v>0.25</v>
      </c>
      <c r="P170" s="691">
        <f t="shared" si="87"/>
        <v>4199.5</v>
      </c>
      <c r="Q170" s="691">
        <f t="shared" si="88"/>
        <v>153012.49876986301</v>
      </c>
      <c r="R170" s="798">
        <v>280</v>
      </c>
      <c r="S170" s="718" t="s">
        <v>363</v>
      </c>
    </row>
    <row r="171" spans="1:19" s="711" customFormat="1" hidden="1" x14ac:dyDescent="0.3">
      <c r="A171" s="747" t="s">
        <v>69</v>
      </c>
      <c r="B171" s="687"/>
      <c r="C171" s="688">
        <f t="shared" si="84"/>
        <v>46044</v>
      </c>
      <c r="D171" s="687">
        <v>90</v>
      </c>
      <c r="E171" s="688">
        <v>46134</v>
      </c>
      <c r="F171" s="823">
        <v>12459.6</v>
      </c>
      <c r="G171" s="689">
        <f t="shared" si="89"/>
        <v>3492425.8800000004</v>
      </c>
      <c r="H171" s="761">
        <v>280.3</v>
      </c>
      <c r="I171" s="687">
        <v>90</v>
      </c>
      <c r="J171" s="690"/>
      <c r="K171" s="690"/>
      <c r="L171" s="691">
        <f>G171*P233/36500</f>
        <v>1189.3384572164384</v>
      </c>
      <c r="M171" s="691">
        <f t="shared" si="85"/>
        <v>107040.46114947945</v>
      </c>
      <c r="N171" s="691">
        <f t="shared" si="86"/>
        <v>107040.46114947945</v>
      </c>
      <c r="O171" s="691">
        <f t="shared" si="83"/>
        <v>-0.30000000000001137</v>
      </c>
      <c r="P171" s="691">
        <f t="shared" si="87"/>
        <v>-3737.8800000001415</v>
      </c>
      <c r="Q171" s="691">
        <f t="shared" si="88"/>
        <v>103302.58114947932</v>
      </c>
      <c r="R171" s="798">
        <v>280.60000000000002</v>
      </c>
      <c r="S171" s="718" t="s">
        <v>363</v>
      </c>
    </row>
    <row r="172" spans="1:19" s="711" customFormat="1" hidden="1" x14ac:dyDescent="0.3">
      <c r="A172" s="747" t="s">
        <v>69</v>
      </c>
      <c r="B172" s="687"/>
      <c r="C172" s="688">
        <f t="shared" si="84"/>
        <v>46044</v>
      </c>
      <c r="D172" s="687">
        <v>90</v>
      </c>
      <c r="E172" s="688">
        <v>46134</v>
      </c>
      <c r="F172" s="823">
        <v>6253.2</v>
      </c>
      <c r="G172" s="689">
        <f t="shared" si="89"/>
        <v>1752771.96</v>
      </c>
      <c r="H172" s="761">
        <v>280.3</v>
      </c>
      <c r="I172" s="687">
        <v>90</v>
      </c>
      <c r="J172" s="690"/>
      <c r="K172" s="690"/>
      <c r="L172" s="691">
        <f>G172*P233/36500</f>
        <v>596.90288939178083</v>
      </c>
      <c r="M172" s="691">
        <f t="shared" si="85"/>
        <v>53721.260045260278</v>
      </c>
      <c r="N172" s="691">
        <f t="shared" si="86"/>
        <v>53721.260045260278</v>
      </c>
      <c r="O172" s="691">
        <f t="shared" si="83"/>
        <v>-0.30000000000001137</v>
      </c>
      <c r="P172" s="691">
        <f t="shared" si="87"/>
        <v>-1875.960000000071</v>
      </c>
      <c r="Q172" s="691">
        <f t="shared" si="88"/>
        <v>51845.300045260206</v>
      </c>
      <c r="R172" s="798">
        <v>280.60000000000002</v>
      </c>
      <c r="S172" s="718" t="s">
        <v>363</v>
      </c>
    </row>
    <row r="173" spans="1:19" s="711" customFormat="1" hidden="1" x14ac:dyDescent="0.3">
      <c r="A173" s="747" t="s">
        <v>327</v>
      </c>
      <c r="B173" s="687"/>
      <c r="C173" s="688">
        <f t="shared" ref="C173:C184" si="90">E173-D173</f>
        <v>46049</v>
      </c>
      <c r="D173" s="687">
        <v>90</v>
      </c>
      <c r="E173" s="688">
        <v>46139</v>
      </c>
      <c r="F173" s="823">
        <v>215600</v>
      </c>
      <c r="G173" s="689">
        <f>F173*H173</f>
        <v>60421900</v>
      </c>
      <c r="H173" s="761">
        <v>280.25</v>
      </c>
      <c r="I173" s="687">
        <v>90</v>
      </c>
      <c r="J173" s="690"/>
      <c r="K173" s="690"/>
      <c r="L173" s="691">
        <f>G173*P232/36500</f>
        <v>21404.251150684933</v>
      </c>
      <c r="M173" s="691">
        <f>L173*I173</f>
        <v>1926382.603561644</v>
      </c>
      <c r="N173" s="691">
        <f>M173-K173</f>
        <v>1926382.603561644</v>
      </c>
      <c r="O173" s="691">
        <f t="shared" si="83"/>
        <v>-0.94999999999998863</v>
      </c>
      <c r="P173" s="691">
        <f>O173*F173</f>
        <v>-204819.99999999756</v>
      </c>
      <c r="Q173" s="691">
        <f>N173+P173</f>
        <v>1721562.6035616463</v>
      </c>
      <c r="R173" s="798">
        <v>281.2</v>
      </c>
      <c r="S173" s="718" t="s">
        <v>363</v>
      </c>
    </row>
    <row r="174" spans="1:19" s="711" customFormat="1" hidden="1" x14ac:dyDescent="0.3">
      <c r="A174" s="747" t="s">
        <v>327</v>
      </c>
      <c r="B174" s="687"/>
      <c r="C174" s="688">
        <f t="shared" si="90"/>
        <v>46047</v>
      </c>
      <c r="D174" s="687">
        <v>90</v>
      </c>
      <c r="E174" s="688">
        <v>46137</v>
      </c>
      <c r="F174" s="823">
        <v>215600</v>
      </c>
      <c r="G174" s="689">
        <f>F174*H174</f>
        <v>60421900</v>
      </c>
      <c r="H174" s="761">
        <v>280.25</v>
      </c>
      <c r="I174" s="687">
        <v>90</v>
      </c>
      <c r="J174" s="690"/>
      <c r="K174" s="690"/>
      <c r="L174" s="691">
        <f>G174*P232/36500</f>
        <v>21404.251150684933</v>
      </c>
      <c r="M174" s="691">
        <f>L174*I174</f>
        <v>1926382.603561644</v>
      </c>
      <c r="N174" s="691">
        <f>M174-K174</f>
        <v>1926382.603561644</v>
      </c>
      <c r="O174" s="691">
        <f t="shared" si="83"/>
        <v>-0.94999999999998863</v>
      </c>
      <c r="P174" s="691">
        <f>O174*F174</f>
        <v>-204819.99999999756</v>
      </c>
      <c r="Q174" s="691">
        <f>N174+P174</f>
        <v>1721562.6035616463</v>
      </c>
      <c r="R174" s="798">
        <v>281.2</v>
      </c>
      <c r="S174" s="718" t="s">
        <v>363</v>
      </c>
    </row>
    <row r="175" spans="1:19" s="711" customFormat="1" hidden="1" x14ac:dyDescent="0.3">
      <c r="A175" s="747" t="s">
        <v>91</v>
      </c>
      <c r="B175" s="687"/>
      <c r="C175" s="688">
        <f t="shared" si="90"/>
        <v>46050</v>
      </c>
      <c r="D175" s="687">
        <v>90</v>
      </c>
      <c r="E175" s="688">
        <v>46140</v>
      </c>
      <c r="F175" s="823">
        <v>15315</v>
      </c>
      <c r="G175" s="689">
        <f t="shared" ref="G175:G184" si="91">F175*H175</f>
        <v>4291263</v>
      </c>
      <c r="H175" s="761">
        <v>280.2</v>
      </c>
      <c r="I175" s="687">
        <v>90</v>
      </c>
      <c r="J175" s="690"/>
      <c r="K175" s="690"/>
      <c r="L175" s="691">
        <f>G175*P234/36500</f>
        <v>1448.448223561644</v>
      </c>
      <c r="M175" s="691">
        <f>L175*I175</f>
        <v>130360.34012054796</v>
      </c>
      <c r="N175" s="691">
        <f>M175-K175</f>
        <v>130360.34012054796</v>
      </c>
      <c r="O175" s="691">
        <f t="shared" ref="O175:O184" si="92">H175-R175</f>
        <v>0.19999999999998863</v>
      </c>
      <c r="P175" s="691">
        <f>O175*F175</f>
        <v>3062.9999999998258</v>
      </c>
      <c r="Q175" s="691">
        <f>N175+P175</f>
        <v>133423.3401205478</v>
      </c>
      <c r="R175" s="798">
        <v>280</v>
      </c>
      <c r="S175" s="718" t="s">
        <v>363</v>
      </c>
    </row>
    <row r="176" spans="1:19" s="711" customFormat="1" hidden="1" x14ac:dyDescent="0.3">
      <c r="A176" s="747" t="s">
        <v>67</v>
      </c>
      <c r="B176" s="687"/>
      <c r="C176" s="688">
        <f t="shared" si="90"/>
        <v>46049</v>
      </c>
      <c r="D176" s="687">
        <v>90</v>
      </c>
      <c r="E176" s="688">
        <v>46139</v>
      </c>
      <c r="F176" s="823">
        <v>213063.76</v>
      </c>
      <c r="G176" s="689">
        <f t="shared" si="91"/>
        <v>59711118.740000002</v>
      </c>
      <c r="H176" s="761">
        <v>280.25</v>
      </c>
      <c r="I176" s="687">
        <v>90</v>
      </c>
      <c r="J176" s="690"/>
      <c r="K176" s="690"/>
      <c r="L176" s="691">
        <f>G176*P231/36500</f>
        <v>20269.061950372605</v>
      </c>
      <c r="M176" s="691">
        <f>L176*I176</f>
        <v>1824215.5755335344</v>
      </c>
      <c r="N176" s="691">
        <f>M176-K176</f>
        <v>1824215.5755335344</v>
      </c>
      <c r="O176" s="691">
        <f t="shared" si="92"/>
        <v>-0.10000000000002274</v>
      </c>
      <c r="P176" s="691">
        <f>O176*F176</f>
        <v>-21306.376000004846</v>
      </c>
      <c r="Q176" s="691">
        <f>N176+P176</f>
        <v>1802909.1995335296</v>
      </c>
      <c r="R176" s="798">
        <v>280.35000000000002</v>
      </c>
      <c r="S176" s="718" t="s">
        <v>363</v>
      </c>
    </row>
    <row r="177" spans="1:19" s="711" customFormat="1" hidden="1" x14ac:dyDescent="0.3">
      <c r="A177" s="747" t="s">
        <v>67</v>
      </c>
      <c r="B177" s="687"/>
      <c r="C177" s="688">
        <f t="shared" si="90"/>
        <v>46049</v>
      </c>
      <c r="D177" s="687">
        <v>90</v>
      </c>
      <c r="E177" s="688">
        <v>46139</v>
      </c>
      <c r="F177" s="823">
        <v>215600</v>
      </c>
      <c r="G177" s="689">
        <f t="shared" si="91"/>
        <v>60421900</v>
      </c>
      <c r="H177" s="761">
        <v>280.25</v>
      </c>
      <c r="I177" s="687">
        <v>90</v>
      </c>
      <c r="J177" s="690"/>
      <c r="K177" s="690"/>
      <c r="L177" s="691">
        <f>G177*P231/36500</f>
        <v>20510.33810958904</v>
      </c>
      <c r="M177" s="691">
        <f>L177*I177</f>
        <v>1845930.4298630136</v>
      </c>
      <c r="N177" s="691">
        <f>M177-K177</f>
        <v>1845930.4298630136</v>
      </c>
      <c r="O177" s="691">
        <f t="shared" si="92"/>
        <v>-0.10000000000002274</v>
      </c>
      <c r="P177" s="691">
        <f>O177*F177</f>
        <v>-21560.000000004904</v>
      </c>
      <c r="Q177" s="691">
        <f>N177+P177</f>
        <v>1824370.4298630087</v>
      </c>
      <c r="R177" s="798">
        <v>280.35000000000002</v>
      </c>
      <c r="S177" s="718" t="s">
        <v>363</v>
      </c>
    </row>
    <row r="178" spans="1:19" s="711" customFormat="1" hidden="1" x14ac:dyDescent="0.3">
      <c r="A178" s="747" t="s">
        <v>69</v>
      </c>
      <c r="B178" s="687"/>
      <c r="C178" s="688">
        <f t="shared" si="90"/>
        <v>46056</v>
      </c>
      <c r="D178" s="687">
        <v>90</v>
      </c>
      <c r="E178" s="688">
        <v>46146</v>
      </c>
      <c r="F178" s="823">
        <v>15353.8</v>
      </c>
      <c r="G178" s="689">
        <f t="shared" si="91"/>
        <v>4301367.0699999994</v>
      </c>
      <c r="H178" s="761">
        <v>280.14999999999998</v>
      </c>
      <c r="I178" s="687">
        <v>90</v>
      </c>
      <c r="J178" s="690"/>
      <c r="K178" s="690"/>
      <c r="L178" s="691">
        <f>G178*P233/36500</f>
        <v>1464.8217172630136</v>
      </c>
      <c r="M178" s="691">
        <f t="shared" ref="M178:M184" si="93">L178*I178</f>
        <v>131833.95455367124</v>
      </c>
      <c r="N178" s="691">
        <f t="shared" ref="N178:N184" si="94">M178-K178</f>
        <v>131833.95455367124</v>
      </c>
      <c r="O178" s="691">
        <f t="shared" si="92"/>
        <v>-0.85000000000002274</v>
      </c>
      <c r="P178" s="691">
        <f t="shared" ref="P178:P184" si="95">O178*F178</f>
        <v>-13050.730000000349</v>
      </c>
      <c r="Q178" s="691">
        <f t="shared" ref="Q178:Q184" si="96">N178+P178</f>
        <v>118783.22455367089</v>
      </c>
      <c r="R178" s="798">
        <v>281</v>
      </c>
      <c r="S178" s="718" t="s">
        <v>363</v>
      </c>
    </row>
    <row r="179" spans="1:19" s="711" customFormat="1" hidden="1" x14ac:dyDescent="0.3">
      <c r="A179" s="747" t="s">
        <v>67</v>
      </c>
      <c r="B179" s="687"/>
      <c r="C179" s="688">
        <f t="shared" si="90"/>
        <v>46056</v>
      </c>
      <c r="D179" s="687">
        <v>90</v>
      </c>
      <c r="E179" s="688">
        <v>46146</v>
      </c>
      <c r="F179" s="823">
        <v>105625</v>
      </c>
      <c r="G179" s="689">
        <f t="shared" si="91"/>
        <v>29627812.5</v>
      </c>
      <c r="H179" s="761">
        <v>280.5</v>
      </c>
      <c r="I179" s="687">
        <v>90</v>
      </c>
      <c r="J179" s="690"/>
      <c r="K179" s="690"/>
      <c r="L179" s="691">
        <f>G179*P232/36500</f>
        <v>10495.551113013698</v>
      </c>
      <c r="M179" s="691">
        <f t="shared" si="93"/>
        <v>944599.60017123283</v>
      </c>
      <c r="N179" s="691">
        <f t="shared" si="94"/>
        <v>944599.60017123283</v>
      </c>
      <c r="O179" s="691">
        <f t="shared" si="92"/>
        <v>0.19999999999998863</v>
      </c>
      <c r="P179" s="691">
        <f t="shared" si="95"/>
        <v>21124.999999998799</v>
      </c>
      <c r="Q179" s="691">
        <f t="shared" si="96"/>
        <v>965724.60017123166</v>
      </c>
      <c r="R179" s="798">
        <v>280.3</v>
      </c>
      <c r="S179" s="718" t="s">
        <v>363</v>
      </c>
    </row>
    <row r="180" spans="1:19" s="711" customFormat="1" hidden="1" x14ac:dyDescent="0.3">
      <c r="A180" s="747" t="s">
        <v>67</v>
      </c>
      <c r="B180" s="687"/>
      <c r="C180" s="688">
        <f t="shared" si="90"/>
        <v>46057</v>
      </c>
      <c r="D180" s="687">
        <v>90</v>
      </c>
      <c r="E180" s="688">
        <v>46147</v>
      </c>
      <c r="F180" s="823">
        <v>49920</v>
      </c>
      <c r="G180" s="689">
        <f t="shared" si="91"/>
        <v>13985087.999999998</v>
      </c>
      <c r="H180" s="761">
        <v>280.14999999999998</v>
      </c>
      <c r="I180" s="687">
        <v>90</v>
      </c>
      <c r="J180" s="690"/>
      <c r="K180" s="690"/>
      <c r="L180" s="691">
        <f>G180*P231/36500</f>
        <v>4747.2668580821919</v>
      </c>
      <c r="M180" s="691">
        <f t="shared" si="93"/>
        <v>427254.0172273973</v>
      </c>
      <c r="N180" s="691">
        <f t="shared" si="94"/>
        <v>427254.0172273973</v>
      </c>
      <c r="O180" s="691">
        <f t="shared" si="92"/>
        <v>-0.15000000000003411</v>
      </c>
      <c r="P180" s="691">
        <f t="shared" si="95"/>
        <v>-7488.0000000017026</v>
      </c>
      <c r="Q180" s="691">
        <f t="shared" si="96"/>
        <v>419766.01722739561</v>
      </c>
      <c r="R180" s="798">
        <v>280.3</v>
      </c>
      <c r="S180" s="718" t="s">
        <v>363</v>
      </c>
    </row>
    <row r="181" spans="1:19" s="711" customFormat="1" hidden="1" x14ac:dyDescent="0.3">
      <c r="A181" s="747" t="s">
        <v>373</v>
      </c>
      <c r="B181" s="687"/>
      <c r="C181" s="688">
        <f t="shared" si="90"/>
        <v>46057</v>
      </c>
      <c r="D181" s="687">
        <v>90</v>
      </c>
      <c r="E181" s="688">
        <v>46147</v>
      </c>
      <c r="F181" s="823">
        <v>80325</v>
      </c>
      <c r="G181" s="689">
        <f t="shared" si="91"/>
        <v>22563292.5</v>
      </c>
      <c r="H181" s="761">
        <v>280.89999999999998</v>
      </c>
      <c r="I181" s="687">
        <v>90</v>
      </c>
      <c r="J181" s="690"/>
      <c r="K181" s="690"/>
      <c r="L181" s="691">
        <f>G181*P228/36500</f>
        <v>7813.6991013698625</v>
      </c>
      <c r="M181" s="691">
        <f t="shared" si="93"/>
        <v>703232.91912328766</v>
      </c>
      <c r="N181" s="691">
        <f t="shared" si="94"/>
        <v>703232.91912328766</v>
      </c>
      <c r="O181" s="691">
        <f t="shared" si="92"/>
        <v>9.9999999999965894E-2</v>
      </c>
      <c r="P181" s="691">
        <f t="shared" si="95"/>
        <v>8032.4999999972606</v>
      </c>
      <c r="Q181" s="691">
        <f t="shared" si="96"/>
        <v>711265.41912328487</v>
      </c>
      <c r="R181" s="798">
        <v>280.8</v>
      </c>
      <c r="S181" s="718" t="s">
        <v>363</v>
      </c>
    </row>
    <row r="182" spans="1:19" s="711" customFormat="1" hidden="1" x14ac:dyDescent="0.3">
      <c r="A182" s="747" t="s">
        <v>365</v>
      </c>
      <c r="B182" s="687"/>
      <c r="C182" s="688">
        <f t="shared" si="90"/>
        <v>46056</v>
      </c>
      <c r="D182" s="687">
        <v>90</v>
      </c>
      <c r="E182" s="688">
        <v>46146</v>
      </c>
      <c r="F182" s="823">
        <v>18200</v>
      </c>
      <c r="G182" s="689">
        <f t="shared" si="91"/>
        <v>5112380</v>
      </c>
      <c r="H182" s="761">
        <v>280.89999999999998</v>
      </c>
      <c r="I182" s="687">
        <v>90</v>
      </c>
      <c r="J182" s="690"/>
      <c r="K182" s="690"/>
      <c r="L182" s="691">
        <f>G182*P230/36500</f>
        <v>1770.424197260274</v>
      </c>
      <c r="M182" s="691">
        <f t="shared" si="93"/>
        <v>159338.17775342465</v>
      </c>
      <c r="N182" s="691">
        <f t="shared" si="94"/>
        <v>159338.17775342465</v>
      </c>
      <c r="O182" s="691">
        <f t="shared" si="92"/>
        <v>1.0999999999999659</v>
      </c>
      <c r="P182" s="691">
        <f t="shared" si="95"/>
        <v>20019.999999999378</v>
      </c>
      <c r="Q182" s="691">
        <f t="shared" si="96"/>
        <v>179358.17775342404</v>
      </c>
      <c r="R182" s="798">
        <v>279.8</v>
      </c>
      <c r="S182" s="718" t="s">
        <v>363</v>
      </c>
    </row>
    <row r="183" spans="1:19" s="711" customFormat="1" hidden="1" x14ac:dyDescent="0.3">
      <c r="A183" s="747" t="s">
        <v>69</v>
      </c>
      <c r="B183" s="687"/>
      <c r="C183" s="688">
        <f t="shared" si="90"/>
        <v>46052</v>
      </c>
      <c r="D183" s="687">
        <v>90</v>
      </c>
      <c r="E183" s="688">
        <v>46142</v>
      </c>
      <c r="F183" s="823">
        <v>11318.4</v>
      </c>
      <c r="G183" s="689">
        <f t="shared" si="91"/>
        <v>3171415.6799999997</v>
      </c>
      <c r="H183" s="761">
        <v>280.2</v>
      </c>
      <c r="I183" s="687">
        <v>90</v>
      </c>
      <c r="J183" s="690"/>
      <c r="K183" s="690"/>
      <c r="L183" s="691">
        <f>G183*P233/36500</f>
        <v>1080.0190932164383</v>
      </c>
      <c r="M183" s="691">
        <f t="shared" si="93"/>
        <v>97201.718389479443</v>
      </c>
      <c r="N183" s="691">
        <f t="shared" si="94"/>
        <v>97201.718389479443</v>
      </c>
      <c r="O183" s="691">
        <f t="shared" si="92"/>
        <v>-0.85000000000002274</v>
      </c>
      <c r="P183" s="691">
        <f t="shared" si="95"/>
        <v>-9620.6400000002577</v>
      </c>
      <c r="Q183" s="691">
        <f t="shared" si="96"/>
        <v>87581.078389479182</v>
      </c>
      <c r="R183" s="798">
        <v>281.05</v>
      </c>
      <c r="S183" s="718" t="s">
        <v>363</v>
      </c>
    </row>
    <row r="184" spans="1:19" s="711" customFormat="1" hidden="1" x14ac:dyDescent="0.3">
      <c r="A184" s="747" t="s">
        <v>69</v>
      </c>
      <c r="B184" s="687"/>
      <c r="C184" s="688">
        <f t="shared" si="90"/>
        <v>46052</v>
      </c>
      <c r="D184" s="687">
        <v>90</v>
      </c>
      <c r="E184" s="688">
        <v>46142</v>
      </c>
      <c r="F184" s="823">
        <v>11343.6</v>
      </c>
      <c r="G184" s="689">
        <f t="shared" si="91"/>
        <v>3178476.72</v>
      </c>
      <c r="H184" s="761">
        <v>280.2</v>
      </c>
      <c r="I184" s="687">
        <v>90</v>
      </c>
      <c r="J184" s="690"/>
      <c r="K184" s="690"/>
      <c r="L184" s="691">
        <f>G184*P233/36500</f>
        <v>1082.4237158794522</v>
      </c>
      <c r="M184" s="691">
        <f t="shared" si="93"/>
        <v>97418.134429150698</v>
      </c>
      <c r="N184" s="691">
        <f t="shared" si="94"/>
        <v>97418.134429150698</v>
      </c>
      <c r="O184" s="691">
        <f t="shared" si="92"/>
        <v>-0.85000000000002274</v>
      </c>
      <c r="P184" s="691">
        <f t="shared" si="95"/>
        <v>-9642.0600000002578</v>
      </c>
      <c r="Q184" s="691">
        <f t="shared" si="96"/>
        <v>87776.074429150438</v>
      </c>
      <c r="R184" s="798">
        <v>281.05</v>
      </c>
      <c r="S184" s="718" t="s">
        <v>363</v>
      </c>
    </row>
    <row r="185" spans="1:19" s="711" customFormat="1" hidden="1" x14ac:dyDescent="0.3">
      <c r="A185" s="747" t="s">
        <v>365</v>
      </c>
      <c r="B185" s="687"/>
      <c r="C185" s="688">
        <f t="shared" ref="C185:C190" si="97">E185-D185</f>
        <v>46067</v>
      </c>
      <c r="D185" s="687">
        <v>90</v>
      </c>
      <c r="E185" s="688">
        <v>46157</v>
      </c>
      <c r="F185" s="823">
        <v>26112</v>
      </c>
      <c r="G185" s="689">
        <f t="shared" ref="G185:G211" si="98">F185*H185</f>
        <v>7306137.6000000006</v>
      </c>
      <c r="H185" s="761">
        <v>279.8</v>
      </c>
      <c r="I185" s="687">
        <v>90</v>
      </c>
      <c r="J185" s="690"/>
      <c r="K185" s="690"/>
      <c r="L185" s="691">
        <f>G185*P230/36500</f>
        <v>2530.1254592876717</v>
      </c>
      <c r="M185" s="691">
        <f t="shared" ref="M185:M204" si="99">L185*I185</f>
        <v>227711.29133589045</v>
      </c>
      <c r="N185" s="691">
        <f t="shared" ref="N185:N204" si="100">M185-K185</f>
        <v>227711.29133589045</v>
      </c>
      <c r="O185" s="691">
        <f t="shared" ref="O185:O190" si="101">H185-R185</f>
        <v>0.10000000000002274</v>
      </c>
      <c r="P185" s="691">
        <f t="shared" ref="P185:P204" si="102">O185*F185</f>
        <v>2611.2000000005937</v>
      </c>
      <c r="Q185" s="691">
        <f t="shared" ref="Q185:Q204" si="103">N185+P185</f>
        <v>230322.49133589104</v>
      </c>
      <c r="R185" s="798">
        <v>279.7</v>
      </c>
      <c r="S185" s="718" t="s">
        <v>363</v>
      </c>
    </row>
    <row r="186" spans="1:19" s="711" customFormat="1" hidden="1" x14ac:dyDescent="0.3">
      <c r="A186" s="747" t="s">
        <v>91</v>
      </c>
      <c r="B186" s="687"/>
      <c r="C186" s="688">
        <f t="shared" si="97"/>
        <v>46077</v>
      </c>
      <c r="D186" s="687">
        <v>90</v>
      </c>
      <c r="E186" s="688">
        <v>46167</v>
      </c>
      <c r="F186" s="823">
        <v>15108.8</v>
      </c>
      <c r="G186" s="689">
        <f t="shared" si="98"/>
        <v>4229708.5599999996</v>
      </c>
      <c r="H186" s="761">
        <v>279.95</v>
      </c>
      <c r="I186" s="687">
        <v>90</v>
      </c>
      <c r="J186" s="690"/>
      <c r="K186" s="690"/>
      <c r="L186" s="691">
        <f>G186*P234/36500</f>
        <v>1427.6714920328766</v>
      </c>
      <c r="M186" s="691">
        <f t="shared" si="99"/>
        <v>128490.43428295889</v>
      </c>
      <c r="N186" s="691">
        <f t="shared" si="100"/>
        <v>128490.43428295889</v>
      </c>
      <c r="O186" s="691">
        <f t="shared" si="101"/>
        <v>5.0000000000011369E-2</v>
      </c>
      <c r="P186" s="691">
        <f t="shared" si="102"/>
        <v>755.44000000017172</v>
      </c>
      <c r="Q186" s="691">
        <f t="shared" si="103"/>
        <v>129245.87428295906</v>
      </c>
      <c r="R186" s="798">
        <v>279.89999999999998</v>
      </c>
      <c r="S186" s="718" t="s">
        <v>363</v>
      </c>
    </row>
    <row r="187" spans="1:19" s="711" customFormat="1" hidden="1" x14ac:dyDescent="0.3">
      <c r="A187" s="747" t="s">
        <v>91</v>
      </c>
      <c r="B187" s="687"/>
      <c r="C187" s="688">
        <f t="shared" si="97"/>
        <v>46077</v>
      </c>
      <c r="D187" s="687">
        <v>90</v>
      </c>
      <c r="E187" s="688">
        <v>46167</v>
      </c>
      <c r="F187" s="823">
        <v>37100</v>
      </c>
      <c r="G187" s="689">
        <f t="shared" si="98"/>
        <v>10386145</v>
      </c>
      <c r="H187" s="761">
        <v>279.95</v>
      </c>
      <c r="I187" s="687">
        <v>90</v>
      </c>
      <c r="J187" s="690"/>
      <c r="K187" s="690"/>
      <c r="L187" s="691">
        <f>G187*P234/36500</f>
        <v>3505.6796273972604</v>
      </c>
      <c r="M187" s="691">
        <f t="shared" si="99"/>
        <v>315511.16646575346</v>
      </c>
      <c r="N187" s="691">
        <f t="shared" si="100"/>
        <v>315511.16646575346</v>
      </c>
      <c r="O187" s="691">
        <f t="shared" si="101"/>
        <v>5.0000000000011369E-2</v>
      </c>
      <c r="P187" s="691">
        <f t="shared" si="102"/>
        <v>1855.0000000004218</v>
      </c>
      <c r="Q187" s="691">
        <f t="shared" si="103"/>
        <v>317366.16646575386</v>
      </c>
      <c r="R187" s="798">
        <v>279.89999999999998</v>
      </c>
      <c r="S187" s="718" t="s">
        <v>363</v>
      </c>
    </row>
    <row r="188" spans="1:19" s="711" customFormat="1" hidden="1" x14ac:dyDescent="0.3">
      <c r="A188" s="747" t="s">
        <v>91</v>
      </c>
      <c r="B188" s="687"/>
      <c r="C188" s="688">
        <f t="shared" si="97"/>
        <v>46077</v>
      </c>
      <c r="D188" s="687">
        <v>90</v>
      </c>
      <c r="E188" s="688">
        <v>46167</v>
      </c>
      <c r="F188" s="823">
        <v>47880</v>
      </c>
      <c r="G188" s="689">
        <f t="shared" si="98"/>
        <v>13404006</v>
      </c>
      <c r="H188" s="761">
        <v>279.95</v>
      </c>
      <c r="I188" s="687">
        <v>90</v>
      </c>
      <c r="J188" s="690"/>
      <c r="K188" s="690"/>
      <c r="L188" s="691">
        <f>G188*P234/36500</f>
        <v>4524.3110663013704</v>
      </c>
      <c r="M188" s="691">
        <f t="shared" si="99"/>
        <v>407187.99596712331</v>
      </c>
      <c r="N188" s="691">
        <f t="shared" si="100"/>
        <v>407187.99596712331</v>
      </c>
      <c r="O188" s="691">
        <f t="shared" si="101"/>
        <v>5.0000000000011369E-2</v>
      </c>
      <c r="P188" s="691">
        <f t="shared" si="102"/>
        <v>2394.0000000005443</v>
      </c>
      <c r="Q188" s="691">
        <f t="shared" si="103"/>
        <v>409581.99596712383</v>
      </c>
      <c r="R188" s="798">
        <v>279.89999999999998</v>
      </c>
      <c r="S188" s="718" t="s">
        <v>363</v>
      </c>
    </row>
    <row r="189" spans="1:19" s="711" customFormat="1" hidden="1" x14ac:dyDescent="0.3">
      <c r="A189" s="747" t="s">
        <v>66</v>
      </c>
      <c r="B189" s="687"/>
      <c r="C189" s="688">
        <f t="shared" si="97"/>
        <v>46079</v>
      </c>
      <c r="D189" s="687">
        <v>90</v>
      </c>
      <c r="E189" s="688">
        <v>46169</v>
      </c>
      <c r="F189" s="823">
        <v>232275</v>
      </c>
      <c r="G189" s="689">
        <f t="shared" ref="G189:G194" si="104">F189*H189</f>
        <v>65013772.499999993</v>
      </c>
      <c r="H189" s="761">
        <v>279.89999999999998</v>
      </c>
      <c r="I189" s="687">
        <v>90</v>
      </c>
      <c r="J189" s="690"/>
      <c r="K189" s="690"/>
      <c r="L189" s="691">
        <f>G189*P227/36500</f>
        <v>22834.974341095887</v>
      </c>
      <c r="M189" s="691">
        <f t="shared" si="99"/>
        <v>2055147.6906986299</v>
      </c>
      <c r="N189" s="691">
        <f t="shared" si="100"/>
        <v>2055147.6906986299</v>
      </c>
      <c r="O189" s="691">
        <f t="shared" si="101"/>
        <v>-0.60000000000002274</v>
      </c>
      <c r="P189" s="691">
        <f t="shared" si="102"/>
        <v>-139365.00000000527</v>
      </c>
      <c r="Q189" s="691">
        <f t="shared" si="103"/>
        <v>1915782.6906986246</v>
      </c>
      <c r="R189" s="798">
        <v>280.5</v>
      </c>
      <c r="S189" s="718" t="s">
        <v>367</v>
      </c>
    </row>
    <row r="190" spans="1:19" s="711" customFormat="1" hidden="1" x14ac:dyDescent="0.3">
      <c r="A190" s="747" t="s">
        <v>66</v>
      </c>
      <c r="B190" s="687"/>
      <c r="C190" s="688">
        <f t="shared" si="97"/>
        <v>46079</v>
      </c>
      <c r="D190" s="687">
        <v>90</v>
      </c>
      <c r="E190" s="688">
        <v>46169</v>
      </c>
      <c r="F190" s="823">
        <v>232275</v>
      </c>
      <c r="G190" s="689">
        <f t="shared" si="104"/>
        <v>65013772.499999993</v>
      </c>
      <c r="H190" s="761">
        <v>279.89999999999998</v>
      </c>
      <c r="I190" s="687">
        <v>90</v>
      </c>
      <c r="J190" s="690"/>
      <c r="K190" s="690"/>
      <c r="L190" s="691">
        <f>G190*P227/36500</f>
        <v>22834.974341095887</v>
      </c>
      <c r="M190" s="691">
        <f t="shared" si="99"/>
        <v>2055147.6906986299</v>
      </c>
      <c r="N190" s="691">
        <f t="shared" si="100"/>
        <v>2055147.6906986299</v>
      </c>
      <c r="O190" s="691">
        <f t="shared" si="101"/>
        <v>-0.60000000000002274</v>
      </c>
      <c r="P190" s="691">
        <f t="shared" si="102"/>
        <v>-139365.00000000527</v>
      </c>
      <c r="Q190" s="691">
        <f t="shared" si="103"/>
        <v>1915782.6906986246</v>
      </c>
      <c r="R190" s="798">
        <v>280.5</v>
      </c>
      <c r="S190" s="718" t="s">
        <v>363</v>
      </c>
    </row>
    <row r="191" spans="1:19" s="711" customFormat="1" hidden="1" x14ac:dyDescent="0.3">
      <c r="A191" s="747" t="s">
        <v>205</v>
      </c>
      <c r="B191" s="687"/>
      <c r="C191" s="688">
        <f t="shared" ref="C191:C197" si="105">E191-D191</f>
        <v>46093</v>
      </c>
      <c r="D191" s="687">
        <v>90</v>
      </c>
      <c r="E191" s="688">
        <v>46183</v>
      </c>
      <c r="F191" s="823">
        <v>204873.07</v>
      </c>
      <c r="G191" s="689">
        <f t="shared" si="104"/>
        <v>57313241.332500003</v>
      </c>
      <c r="H191" s="761">
        <v>279.75</v>
      </c>
      <c r="I191" s="687">
        <v>90</v>
      </c>
      <c r="J191" s="690"/>
      <c r="K191" s="690"/>
      <c r="L191" s="691">
        <f>G191*P229/36500</f>
        <v>19910.463016331505</v>
      </c>
      <c r="M191" s="691">
        <f>L191*I191</f>
        <v>1791941.6714698356</v>
      </c>
      <c r="N191" s="691">
        <f>M191-K191</f>
        <v>1791941.6714698356</v>
      </c>
      <c r="O191" s="691">
        <f t="shared" ref="O191:O205" si="106">H191-R191</f>
        <v>-1.25</v>
      </c>
      <c r="P191" s="691">
        <f>O191*F191</f>
        <v>-256091.33750000002</v>
      </c>
      <c r="Q191" s="691">
        <f>N191+P191</f>
        <v>1535850.3339698357</v>
      </c>
      <c r="R191" s="798">
        <v>281</v>
      </c>
      <c r="S191" s="718" t="s">
        <v>367</v>
      </c>
    </row>
    <row r="192" spans="1:19" s="711" customFormat="1" hidden="1" x14ac:dyDescent="0.3">
      <c r="A192" s="747" t="s">
        <v>205</v>
      </c>
      <c r="B192" s="687"/>
      <c r="C192" s="688">
        <f t="shared" si="105"/>
        <v>46093</v>
      </c>
      <c r="D192" s="687">
        <v>90</v>
      </c>
      <c r="E192" s="688">
        <v>46183</v>
      </c>
      <c r="F192" s="823">
        <v>204872.28</v>
      </c>
      <c r="G192" s="689">
        <f t="shared" si="104"/>
        <v>57313020.329999998</v>
      </c>
      <c r="H192" s="761">
        <v>279.75</v>
      </c>
      <c r="I192" s="687">
        <v>90</v>
      </c>
      <c r="J192" s="690"/>
      <c r="K192" s="690"/>
      <c r="L192" s="691">
        <f>G192*P229/36500</f>
        <v>19910.386240668493</v>
      </c>
      <c r="M192" s="691">
        <f>L192*I192</f>
        <v>1791934.7616601645</v>
      </c>
      <c r="N192" s="691">
        <f>M192-K192</f>
        <v>1791934.7616601645</v>
      </c>
      <c r="O192" s="691">
        <f t="shared" si="106"/>
        <v>-1.25</v>
      </c>
      <c r="P192" s="691">
        <f>O192*F192</f>
        <v>-256090.35</v>
      </c>
      <c r="Q192" s="691">
        <f>N192+P192</f>
        <v>1535844.4116601644</v>
      </c>
      <c r="R192" s="798">
        <v>281</v>
      </c>
      <c r="S192" s="718" t="s">
        <v>367</v>
      </c>
    </row>
    <row r="193" spans="1:19" s="711" customFormat="1" hidden="1" x14ac:dyDescent="0.3">
      <c r="A193" s="747" t="s">
        <v>205</v>
      </c>
      <c r="B193" s="687"/>
      <c r="C193" s="688">
        <f t="shared" si="105"/>
        <v>46132</v>
      </c>
      <c r="D193" s="687">
        <v>60</v>
      </c>
      <c r="E193" s="688">
        <v>46192</v>
      </c>
      <c r="F193" s="823">
        <v>45000</v>
      </c>
      <c r="G193" s="689">
        <f t="shared" si="104"/>
        <v>12570750.000000002</v>
      </c>
      <c r="H193" s="761">
        <v>279.35000000000002</v>
      </c>
      <c r="I193" s="687">
        <v>90</v>
      </c>
      <c r="J193" s="690"/>
      <c r="K193" s="690"/>
      <c r="L193" s="691">
        <f>G193*P229/36500</f>
        <v>4367.0441095890419</v>
      </c>
      <c r="M193" s="691">
        <f>L193*I193</f>
        <v>393033.96986301377</v>
      </c>
      <c r="N193" s="691">
        <f>M193-K193</f>
        <v>393033.96986301377</v>
      </c>
      <c r="O193" s="691">
        <f t="shared" si="106"/>
        <v>-1.5499999999999545</v>
      </c>
      <c r="P193" s="691">
        <f>O193*F193</f>
        <v>-69749.999999997948</v>
      </c>
      <c r="Q193" s="691">
        <f>N193+P193</f>
        <v>323283.96986301581</v>
      </c>
      <c r="R193" s="798">
        <v>280.89999999999998</v>
      </c>
      <c r="S193" s="718" t="s">
        <v>367</v>
      </c>
    </row>
    <row r="194" spans="1:19" s="711" customFormat="1" hidden="1" x14ac:dyDescent="0.3">
      <c r="A194" s="747" t="s">
        <v>205</v>
      </c>
      <c r="B194" s="687"/>
      <c r="C194" s="688">
        <f t="shared" si="105"/>
        <v>46132</v>
      </c>
      <c r="D194" s="687">
        <v>60</v>
      </c>
      <c r="E194" s="688">
        <v>46192</v>
      </c>
      <c r="F194" s="823">
        <v>56000</v>
      </c>
      <c r="G194" s="689">
        <f t="shared" si="104"/>
        <v>15643600.000000002</v>
      </c>
      <c r="H194" s="761">
        <v>279.35000000000002</v>
      </c>
      <c r="I194" s="687">
        <v>90</v>
      </c>
      <c r="J194" s="690"/>
      <c r="K194" s="690"/>
      <c r="L194" s="691">
        <f>G194*P229/36500</f>
        <v>5434.5437808219185</v>
      </c>
      <c r="M194" s="691">
        <f>L194*I194</f>
        <v>489108.94027397269</v>
      </c>
      <c r="N194" s="691">
        <f>M194-K194</f>
        <v>489108.94027397269</v>
      </c>
      <c r="O194" s="691">
        <f t="shared" si="106"/>
        <v>-1.5499999999999545</v>
      </c>
      <c r="P194" s="691">
        <f>O194*F194</f>
        <v>-86799.999999997453</v>
      </c>
      <c r="Q194" s="691">
        <f>N194+P194</f>
        <v>402308.94027397525</v>
      </c>
      <c r="R194" s="798">
        <v>280.89999999999998</v>
      </c>
      <c r="S194" s="718" t="s">
        <v>367</v>
      </c>
    </row>
    <row r="195" spans="1:19" s="711" customFormat="1" x14ac:dyDescent="0.3">
      <c r="A195" s="747" t="s">
        <v>327</v>
      </c>
      <c r="B195" s="687"/>
      <c r="C195" s="688">
        <f t="shared" si="105"/>
        <v>46151</v>
      </c>
      <c r="D195" s="687">
        <v>90</v>
      </c>
      <c r="E195" s="688">
        <v>46241</v>
      </c>
      <c r="F195" s="823">
        <v>51840</v>
      </c>
      <c r="G195" s="689">
        <f t="shared" si="98"/>
        <v>14468544.000000002</v>
      </c>
      <c r="H195" s="761">
        <v>279.10000000000002</v>
      </c>
      <c r="I195" s="687">
        <v>90</v>
      </c>
      <c r="J195" s="690"/>
      <c r="K195" s="690"/>
      <c r="L195" s="691">
        <f>G195*P232/36500</f>
        <v>5125.4321621917816</v>
      </c>
      <c r="M195" s="691">
        <f t="shared" si="99"/>
        <v>461288.89459726034</v>
      </c>
      <c r="N195" s="691">
        <f t="shared" si="100"/>
        <v>461288.89459726034</v>
      </c>
      <c r="O195" s="691">
        <f t="shared" si="106"/>
        <v>0.5</v>
      </c>
      <c r="P195" s="691">
        <f t="shared" si="102"/>
        <v>25920</v>
      </c>
      <c r="Q195" s="691">
        <f t="shared" si="103"/>
        <v>487208.89459726034</v>
      </c>
      <c r="R195" s="798">
        <v>278.60000000000002</v>
      </c>
      <c r="S195" s="718" t="s">
        <v>360</v>
      </c>
    </row>
    <row r="196" spans="1:19" s="711" customFormat="1" x14ac:dyDescent="0.3">
      <c r="A196" s="747" t="s">
        <v>361</v>
      </c>
      <c r="B196" s="687"/>
      <c r="C196" s="688">
        <f t="shared" si="105"/>
        <v>46181</v>
      </c>
      <c r="D196" s="687">
        <v>90</v>
      </c>
      <c r="E196" s="688">
        <v>46271</v>
      </c>
      <c r="F196" s="823">
        <v>25920</v>
      </c>
      <c r="G196" s="689">
        <f>F196*H196</f>
        <v>7226496</v>
      </c>
      <c r="H196" s="761">
        <v>278.8</v>
      </c>
      <c r="I196" s="687">
        <v>90</v>
      </c>
      <c r="J196" s="690"/>
      <c r="K196" s="690"/>
      <c r="L196" s="691">
        <f>G196*P235/36500</f>
        <v>2581.739940821918</v>
      </c>
      <c r="M196" s="691">
        <f>L196*I196</f>
        <v>232356.59467397264</v>
      </c>
      <c r="N196" s="691">
        <f>M196-K196</f>
        <v>232356.59467397264</v>
      </c>
      <c r="O196" s="691">
        <f t="shared" si="106"/>
        <v>0.19999999999998863</v>
      </c>
      <c r="P196" s="691">
        <f>O196*F196</f>
        <v>5183.9999999997053</v>
      </c>
      <c r="Q196" s="691">
        <f>N196+P196</f>
        <v>237540.59467397234</v>
      </c>
      <c r="R196" s="798">
        <v>278.60000000000002</v>
      </c>
      <c r="S196" s="718" t="s">
        <v>360</v>
      </c>
    </row>
    <row r="197" spans="1:19" s="711" customFormat="1" x14ac:dyDescent="0.3">
      <c r="A197" s="747" t="s">
        <v>205</v>
      </c>
      <c r="B197" s="687"/>
      <c r="C197" s="688">
        <f t="shared" si="105"/>
        <v>46126</v>
      </c>
      <c r="D197" s="687">
        <v>90</v>
      </c>
      <c r="E197" s="688">
        <v>46216</v>
      </c>
      <c r="F197" s="823">
        <v>232750</v>
      </c>
      <c r="G197" s="689">
        <f t="shared" si="98"/>
        <v>65030349.999999993</v>
      </c>
      <c r="H197" s="761">
        <v>279.39999999999998</v>
      </c>
      <c r="I197" s="687">
        <v>90</v>
      </c>
      <c r="J197" s="690"/>
      <c r="K197" s="690"/>
      <c r="L197" s="691">
        <f>G197*P229/36500</f>
        <v>22591.365424657532</v>
      </c>
      <c r="M197" s="691">
        <f t="shared" si="99"/>
        <v>2033222.8882191777</v>
      </c>
      <c r="N197" s="691">
        <f t="shared" si="100"/>
        <v>2033222.8882191777</v>
      </c>
      <c r="O197" s="691">
        <f t="shared" si="106"/>
        <v>0.79999999999995453</v>
      </c>
      <c r="P197" s="691">
        <f t="shared" si="102"/>
        <v>186199.99999998941</v>
      </c>
      <c r="Q197" s="691">
        <f t="shared" si="103"/>
        <v>2219422.888219167</v>
      </c>
      <c r="R197" s="798">
        <v>278.60000000000002</v>
      </c>
      <c r="S197" s="718" t="s">
        <v>360</v>
      </c>
    </row>
    <row r="198" spans="1:19" s="711" customFormat="1" x14ac:dyDescent="0.3">
      <c r="A198" s="747" t="s">
        <v>205</v>
      </c>
      <c r="B198" s="687"/>
      <c r="C198" s="688">
        <f>E198-D198</f>
        <v>46119</v>
      </c>
      <c r="D198" s="687">
        <v>90</v>
      </c>
      <c r="E198" s="688">
        <v>46209</v>
      </c>
      <c r="F198" s="823">
        <v>50880</v>
      </c>
      <c r="G198" s="689">
        <f t="shared" si="98"/>
        <v>14220960</v>
      </c>
      <c r="H198" s="761">
        <v>279.5</v>
      </c>
      <c r="I198" s="687">
        <v>90</v>
      </c>
      <c r="J198" s="690"/>
      <c r="K198" s="690"/>
      <c r="L198" s="691">
        <f>G198*P229/36500</f>
        <v>4940.322542465753</v>
      </c>
      <c r="M198" s="691">
        <f t="shared" si="99"/>
        <v>444629.02882191777</v>
      </c>
      <c r="N198" s="691">
        <f t="shared" si="100"/>
        <v>444629.02882191777</v>
      </c>
      <c r="O198" s="691">
        <f t="shared" si="106"/>
        <v>0.89999999999997726</v>
      </c>
      <c r="P198" s="691">
        <f t="shared" si="102"/>
        <v>45791.999999998843</v>
      </c>
      <c r="Q198" s="691">
        <f t="shared" si="103"/>
        <v>490421.02882191661</v>
      </c>
      <c r="R198" s="798">
        <v>278.60000000000002</v>
      </c>
      <c r="S198" s="718" t="s">
        <v>360</v>
      </c>
    </row>
    <row r="199" spans="1:19" s="711" customFormat="1" x14ac:dyDescent="0.3">
      <c r="A199" s="747" t="s">
        <v>205</v>
      </c>
      <c r="B199" s="687"/>
      <c r="C199" s="688">
        <f>E199-D199</f>
        <v>46137</v>
      </c>
      <c r="D199" s="687">
        <v>90</v>
      </c>
      <c r="E199" s="688">
        <v>46227</v>
      </c>
      <c r="F199" s="823">
        <v>50880</v>
      </c>
      <c r="G199" s="689">
        <f t="shared" si="98"/>
        <v>14208240</v>
      </c>
      <c r="H199" s="761">
        <v>279.25</v>
      </c>
      <c r="I199" s="687">
        <v>90</v>
      </c>
      <c r="J199" s="690"/>
      <c r="K199" s="690"/>
      <c r="L199" s="691">
        <f>G199*P229/36500</f>
        <v>4935.9036493150679</v>
      </c>
      <c r="M199" s="691">
        <f t="shared" si="99"/>
        <v>444231.32843835611</v>
      </c>
      <c r="N199" s="691">
        <f t="shared" si="100"/>
        <v>444231.32843835611</v>
      </c>
      <c r="O199" s="691">
        <f t="shared" si="106"/>
        <v>0.64999999999997726</v>
      </c>
      <c r="P199" s="691">
        <f t="shared" si="102"/>
        <v>33071.999999998843</v>
      </c>
      <c r="Q199" s="691">
        <f t="shared" si="103"/>
        <v>477303.32843835495</v>
      </c>
      <c r="R199" s="798">
        <v>278.60000000000002</v>
      </c>
      <c r="S199" s="718" t="s">
        <v>360</v>
      </c>
    </row>
    <row r="200" spans="1:19" s="711" customFormat="1" x14ac:dyDescent="0.3">
      <c r="A200" s="747" t="s">
        <v>205</v>
      </c>
      <c r="B200" s="687"/>
      <c r="C200" s="688">
        <f>E200-D200</f>
        <v>46119</v>
      </c>
      <c r="D200" s="687">
        <v>90</v>
      </c>
      <c r="E200" s="688">
        <v>46209</v>
      </c>
      <c r="F200" s="823">
        <v>262500</v>
      </c>
      <c r="G200" s="689">
        <f>F200*H200</f>
        <v>73368750</v>
      </c>
      <c r="H200" s="761">
        <v>279.5</v>
      </c>
      <c r="I200" s="687">
        <v>90</v>
      </c>
      <c r="J200" s="690"/>
      <c r="K200" s="690"/>
      <c r="L200" s="691">
        <f>G200*P229/36500</f>
        <v>25488.102739726026</v>
      </c>
      <c r="M200" s="691">
        <f>L200*I200</f>
        <v>2293929.2465753425</v>
      </c>
      <c r="N200" s="691">
        <f>M200-K200</f>
        <v>2293929.2465753425</v>
      </c>
      <c r="O200" s="691">
        <f>H200-R200</f>
        <v>0.89999999999997726</v>
      </c>
      <c r="P200" s="691">
        <f>O200*F200</f>
        <v>236249.99999999403</v>
      </c>
      <c r="Q200" s="691">
        <f>N200+P200</f>
        <v>2530179.2465753364</v>
      </c>
      <c r="R200" s="798">
        <v>278.60000000000002</v>
      </c>
      <c r="S200" s="718" t="s">
        <v>360</v>
      </c>
    </row>
    <row r="201" spans="1:19" s="711" customFormat="1" x14ac:dyDescent="0.3">
      <c r="A201" s="747" t="s">
        <v>91</v>
      </c>
      <c r="B201" s="687"/>
      <c r="C201" s="688">
        <f>E201-D201</f>
        <v>46133</v>
      </c>
      <c r="D201" s="687">
        <v>90</v>
      </c>
      <c r="E201" s="688">
        <v>46223</v>
      </c>
      <c r="F201" s="823">
        <v>150297</v>
      </c>
      <c r="G201" s="689">
        <f t="shared" si="98"/>
        <v>41977952.100000001</v>
      </c>
      <c r="H201" s="761">
        <v>279.3</v>
      </c>
      <c r="I201" s="687">
        <v>90</v>
      </c>
      <c r="J201" s="690"/>
      <c r="K201" s="690"/>
      <c r="L201" s="691">
        <f>G201*P234/36500</f>
        <v>14168.996434849316</v>
      </c>
      <c r="M201" s="691">
        <f t="shared" si="99"/>
        <v>1275209.6791364385</v>
      </c>
      <c r="N201" s="691">
        <f t="shared" si="100"/>
        <v>1275209.6791364385</v>
      </c>
      <c r="O201" s="691">
        <f t="shared" si="106"/>
        <v>0.69999999999998863</v>
      </c>
      <c r="P201" s="691">
        <f t="shared" si="102"/>
        <v>105207.89999999829</v>
      </c>
      <c r="Q201" s="691">
        <f t="shared" si="103"/>
        <v>1380417.5791364368</v>
      </c>
      <c r="R201" s="798">
        <v>278.60000000000002</v>
      </c>
      <c r="S201" s="718" t="s">
        <v>360</v>
      </c>
    </row>
    <row r="202" spans="1:19" s="616" customFormat="1" x14ac:dyDescent="0.3">
      <c r="A202" s="744" t="s">
        <v>69</v>
      </c>
      <c r="B202" s="614"/>
      <c r="C202" s="753"/>
      <c r="D202" s="614">
        <v>90</v>
      </c>
      <c r="E202" s="753"/>
      <c r="F202" s="812">
        <v>56564.2</v>
      </c>
      <c r="G202" s="692">
        <f t="shared" si="98"/>
        <v>0</v>
      </c>
      <c r="H202" s="760"/>
      <c r="I202" s="614">
        <v>90</v>
      </c>
      <c r="J202" s="694"/>
      <c r="K202" s="694"/>
      <c r="L202" s="615">
        <f>G202*P234/36500</f>
        <v>0</v>
      </c>
      <c r="M202" s="615">
        <f t="shared" si="99"/>
        <v>0</v>
      </c>
      <c r="N202" s="615">
        <f t="shared" si="100"/>
        <v>0</v>
      </c>
      <c r="O202" s="615">
        <f t="shared" si="106"/>
        <v>0</v>
      </c>
      <c r="P202" s="615">
        <f t="shared" si="102"/>
        <v>0</v>
      </c>
      <c r="Q202" s="615">
        <f t="shared" si="103"/>
        <v>0</v>
      </c>
      <c r="R202" s="790"/>
      <c r="S202" s="750"/>
    </row>
    <row r="203" spans="1:19" s="616" customFormat="1" x14ac:dyDescent="0.3">
      <c r="A203" s="744" t="s">
        <v>69</v>
      </c>
      <c r="B203" s="614"/>
      <c r="C203" s="753"/>
      <c r="D203" s="614">
        <v>90</v>
      </c>
      <c r="E203" s="753"/>
      <c r="F203" s="812">
        <v>24480</v>
      </c>
      <c r="G203" s="692">
        <f t="shared" si="98"/>
        <v>0</v>
      </c>
      <c r="H203" s="760"/>
      <c r="I203" s="614">
        <v>90</v>
      </c>
      <c r="J203" s="694"/>
      <c r="K203" s="694"/>
      <c r="L203" s="615">
        <f>G203*P236/36500</f>
        <v>0</v>
      </c>
      <c r="M203" s="615">
        <f t="shared" si="99"/>
        <v>0</v>
      </c>
      <c r="N203" s="615">
        <f t="shared" si="100"/>
        <v>0</v>
      </c>
      <c r="O203" s="615">
        <f t="shared" si="106"/>
        <v>0</v>
      </c>
      <c r="P203" s="615">
        <f t="shared" si="102"/>
        <v>0</v>
      </c>
      <c r="Q203" s="615">
        <f t="shared" si="103"/>
        <v>0</v>
      </c>
      <c r="R203" s="790"/>
      <c r="S203" s="750"/>
    </row>
    <row r="204" spans="1:19" s="616" customFormat="1" x14ac:dyDescent="0.3">
      <c r="A204" s="744" t="s">
        <v>68</v>
      </c>
      <c r="B204" s="614"/>
      <c r="C204" s="753"/>
      <c r="D204" s="614">
        <v>90</v>
      </c>
      <c r="E204" s="753"/>
      <c r="F204" s="812">
        <v>18540</v>
      </c>
      <c r="G204" s="692">
        <f t="shared" si="98"/>
        <v>0</v>
      </c>
      <c r="H204" s="760"/>
      <c r="I204" s="614">
        <v>90</v>
      </c>
      <c r="J204" s="694"/>
      <c r="K204" s="694"/>
      <c r="L204" s="615">
        <f>G204*P241/36500</f>
        <v>0</v>
      </c>
      <c r="M204" s="615">
        <f t="shared" si="99"/>
        <v>0</v>
      </c>
      <c r="N204" s="615">
        <f t="shared" si="100"/>
        <v>0</v>
      </c>
      <c r="O204" s="615">
        <f t="shared" si="106"/>
        <v>0</v>
      </c>
      <c r="P204" s="615">
        <f t="shared" si="102"/>
        <v>0</v>
      </c>
      <c r="Q204" s="615">
        <f t="shared" si="103"/>
        <v>0</v>
      </c>
      <c r="R204" s="790"/>
      <c r="S204" s="750"/>
    </row>
    <row r="205" spans="1:19" s="711" customFormat="1" x14ac:dyDescent="0.3">
      <c r="A205" s="747" t="s">
        <v>68</v>
      </c>
      <c r="B205" s="687"/>
      <c r="C205" s="688">
        <f>E205-D205</f>
        <v>46125</v>
      </c>
      <c r="D205" s="687">
        <v>90</v>
      </c>
      <c r="E205" s="688">
        <v>46215</v>
      </c>
      <c r="F205" s="823">
        <v>51840</v>
      </c>
      <c r="G205" s="689">
        <f t="shared" si="98"/>
        <v>14484095.999999998</v>
      </c>
      <c r="H205" s="761">
        <v>279.39999999999998</v>
      </c>
      <c r="I205" s="687">
        <v>90</v>
      </c>
      <c r="J205" s="690"/>
      <c r="K205" s="690"/>
      <c r="L205" s="691">
        <f>G205*P226/36500</f>
        <v>5087.2907046575338</v>
      </c>
      <c r="M205" s="691">
        <f t="shared" ref="M205:M221" si="107">L205*I205</f>
        <v>457856.16341917805</v>
      </c>
      <c r="N205" s="691">
        <f t="shared" ref="N205:N221" si="108">M205-K205</f>
        <v>457856.16341917805</v>
      </c>
      <c r="O205" s="691">
        <f t="shared" si="106"/>
        <v>0.79999999999995453</v>
      </c>
      <c r="P205" s="691">
        <f t="shared" ref="P205:P221" si="109">O205*F205</f>
        <v>41471.999999997643</v>
      </c>
      <c r="Q205" s="691">
        <f t="shared" ref="Q205:Q221" si="110">N205+P205</f>
        <v>499328.16341917566</v>
      </c>
      <c r="R205" s="798">
        <v>278.60000000000002</v>
      </c>
      <c r="S205" s="718" t="s">
        <v>360</v>
      </c>
    </row>
    <row r="206" spans="1:19" s="616" customFormat="1" x14ac:dyDescent="0.3">
      <c r="A206" s="744" t="s">
        <v>68</v>
      </c>
      <c r="B206" s="614"/>
      <c r="C206" s="753"/>
      <c r="D206" s="614">
        <v>90</v>
      </c>
      <c r="E206" s="753"/>
      <c r="F206" s="812">
        <v>18180</v>
      </c>
      <c r="G206" s="692">
        <f t="shared" si="98"/>
        <v>0</v>
      </c>
      <c r="H206" s="760"/>
      <c r="I206" s="614">
        <v>90</v>
      </c>
      <c r="J206" s="694"/>
      <c r="K206" s="694"/>
      <c r="L206" s="615">
        <f>G206*P244/36500</f>
        <v>0</v>
      </c>
      <c r="M206" s="615">
        <f t="shared" si="107"/>
        <v>0</v>
      </c>
      <c r="N206" s="615">
        <f t="shared" si="108"/>
        <v>0</v>
      </c>
      <c r="O206" s="615">
        <f t="shared" ref="O206:O213" si="111">H206-R206</f>
        <v>0</v>
      </c>
      <c r="P206" s="615">
        <f t="shared" si="109"/>
        <v>0</v>
      </c>
      <c r="Q206" s="615">
        <f t="shared" si="110"/>
        <v>0</v>
      </c>
      <c r="R206" s="790"/>
      <c r="S206" s="750"/>
    </row>
    <row r="207" spans="1:19" s="616" customFormat="1" x14ac:dyDescent="0.3">
      <c r="A207" s="744" t="s">
        <v>67</v>
      </c>
      <c r="B207" s="614"/>
      <c r="C207" s="753"/>
      <c r="D207" s="614">
        <v>90</v>
      </c>
      <c r="E207" s="753"/>
      <c r="F207" s="812">
        <v>96850</v>
      </c>
      <c r="G207" s="692">
        <f t="shared" si="98"/>
        <v>0</v>
      </c>
      <c r="H207" s="760"/>
      <c r="I207" s="614">
        <v>90</v>
      </c>
      <c r="J207" s="694"/>
      <c r="K207" s="694"/>
      <c r="L207" s="615">
        <f>G207*P245/36500</f>
        <v>0</v>
      </c>
      <c r="M207" s="615">
        <f t="shared" si="107"/>
        <v>0</v>
      </c>
      <c r="N207" s="615">
        <f t="shared" si="108"/>
        <v>0</v>
      </c>
      <c r="O207" s="615">
        <f t="shared" si="111"/>
        <v>0</v>
      </c>
      <c r="P207" s="615">
        <f t="shared" si="109"/>
        <v>0</v>
      </c>
      <c r="Q207" s="615">
        <f t="shared" si="110"/>
        <v>0</v>
      </c>
      <c r="R207" s="790"/>
      <c r="S207" s="750"/>
    </row>
    <row r="208" spans="1:19" s="616" customFormat="1" x14ac:dyDescent="0.3">
      <c r="A208" s="744" t="s">
        <v>67</v>
      </c>
      <c r="B208" s="614"/>
      <c r="C208" s="753"/>
      <c r="D208" s="614">
        <v>90</v>
      </c>
      <c r="E208" s="753"/>
      <c r="F208" s="812">
        <v>109850</v>
      </c>
      <c r="G208" s="692">
        <f t="shared" si="98"/>
        <v>0</v>
      </c>
      <c r="H208" s="760"/>
      <c r="I208" s="614">
        <v>90</v>
      </c>
      <c r="J208" s="694"/>
      <c r="K208" s="694"/>
      <c r="L208" s="615">
        <f>G208*P233/36500</f>
        <v>0</v>
      </c>
      <c r="M208" s="615">
        <f t="shared" si="107"/>
        <v>0</v>
      </c>
      <c r="N208" s="615">
        <f t="shared" si="108"/>
        <v>0</v>
      </c>
      <c r="O208" s="615">
        <f t="shared" si="111"/>
        <v>0</v>
      </c>
      <c r="P208" s="615">
        <f t="shared" si="109"/>
        <v>0</v>
      </c>
      <c r="Q208" s="615">
        <f t="shared" si="110"/>
        <v>0</v>
      </c>
      <c r="R208" s="790"/>
      <c r="S208" s="750"/>
    </row>
    <row r="209" spans="1:19" s="616" customFormat="1" x14ac:dyDescent="0.3">
      <c r="A209" s="744" t="s">
        <v>67</v>
      </c>
      <c r="B209" s="614"/>
      <c r="C209" s="753"/>
      <c r="D209" s="614">
        <v>90</v>
      </c>
      <c r="E209" s="753"/>
      <c r="F209" s="812">
        <v>49920</v>
      </c>
      <c r="G209" s="692">
        <f t="shared" si="98"/>
        <v>0</v>
      </c>
      <c r="H209" s="760"/>
      <c r="I209" s="614">
        <v>90</v>
      </c>
      <c r="J209" s="694"/>
      <c r="K209" s="694"/>
      <c r="L209" s="615">
        <f>G209*P234/36500</f>
        <v>0</v>
      </c>
      <c r="M209" s="615">
        <f>L209*I209</f>
        <v>0</v>
      </c>
      <c r="N209" s="615">
        <f>M209-K209</f>
        <v>0</v>
      </c>
      <c r="O209" s="615">
        <f>H209-R209</f>
        <v>0</v>
      </c>
      <c r="P209" s="615">
        <f>O209*F209</f>
        <v>0</v>
      </c>
      <c r="Q209" s="615">
        <f>N209+P209</f>
        <v>0</v>
      </c>
      <c r="R209" s="790"/>
      <c r="S209" s="750"/>
    </row>
    <row r="210" spans="1:19" s="711" customFormat="1" x14ac:dyDescent="0.3">
      <c r="A210" s="747" t="s">
        <v>67</v>
      </c>
      <c r="B210" s="687"/>
      <c r="C210" s="688">
        <f>E210-D210</f>
        <v>46162</v>
      </c>
      <c r="D210" s="687">
        <v>90</v>
      </c>
      <c r="E210" s="688">
        <v>46252</v>
      </c>
      <c r="F210" s="823">
        <v>263000</v>
      </c>
      <c r="G210" s="689">
        <f t="shared" si="98"/>
        <v>73377000</v>
      </c>
      <c r="H210" s="761">
        <v>279</v>
      </c>
      <c r="I210" s="687">
        <v>90</v>
      </c>
      <c r="J210" s="690"/>
      <c r="K210" s="690"/>
      <c r="L210" s="691">
        <f>G210*P231/36500</f>
        <v>24907.973424657535</v>
      </c>
      <c r="M210" s="691">
        <f>L210*I210</f>
        <v>2241717.6082191784</v>
      </c>
      <c r="N210" s="691">
        <f>M210-K210</f>
        <v>2241717.6082191784</v>
      </c>
      <c r="O210" s="691">
        <f>H210-R210</f>
        <v>0.39999999999997726</v>
      </c>
      <c r="P210" s="691">
        <f>O210*F210</f>
        <v>105199.99999999402</v>
      </c>
      <c r="Q210" s="691">
        <f>N210+P210</f>
        <v>2346917.6082191723</v>
      </c>
      <c r="R210" s="798">
        <v>278.60000000000002</v>
      </c>
      <c r="S210" s="718" t="s">
        <v>360</v>
      </c>
    </row>
    <row r="211" spans="1:19" s="711" customFormat="1" x14ac:dyDescent="0.3">
      <c r="A211" s="747" t="s">
        <v>67</v>
      </c>
      <c r="B211" s="687"/>
      <c r="C211" s="688">
        <f>E211-D211</f>
        <v>46162</v>
      </c>
      <c r="D211" s="687">
        <v>90</v>
      </c>
      <c r="E211" s="688">
        <v>46252</v>
      </c>
      <c r="F211" s="823">
        <v>273441.09999999998</v>
      </c>
      <c r="G211" s="689">
        <f t="shared" si="98"/>
        <v>76290066.899999991</v>
      </c>
      <c r="H211" s="761">
        <v>279</v>
      </c>
      <c r="I211" s="687">
        <v>90</v>
      </c>
      <c r="J211" s="690"/>
      <c r="K211" s="690"/>
      <c r="L211" s="691">
        <f>G211*P231/36500</f>
        <v>25896.819969616437</v>
      </c>
      <c r="M211" s="691">
        <f>L211*I211</f>
        <v>2330713.7972654793</v>
      </c>
      <c r="N211" s="691">
        <f>M211-K211</f>
        <v>2330713.7972654793</v>
      </c>
      <c r="O211" s="691">
        <f>H211-R211</f>
        <v>0.39999999999997726</v>
      </c>
      <c r="P211" s="691">
        <f>O211*F211</f>
        <v>109376.43999999377</v>
      </c>
      <c r="Q211" s="691">
        <f>N211+P211</f>
        <v>2440090.2372654732</v>
      </c>
      <c r="R211" s="798">
        <v>278.60000000000002</v>
      </c>
      <c r="S211" s="718" t="s">
        <v>360</v>
      </c>
    </row>
    <row r="212" spans="1:19" s="616" customFormat="1" x14ac:dyDescent="0.3">
      <c r="A212" s="744" t="s">
        <v>66</v>
      </c>
      <c r="B212" s="614"/>
      <c r="C212" s="753"/>
      <c r="D212" s="614">
        <v>90</v>
      </c>
      <c r="E212" s="753"/>
      <c r="F212" s="812">
        <v>122250</v>
      </c>
      <c r="G212" s="692">
        <f t="shared" ref="G212:G221" si="112">F212*H212</f>
        <v>0</v>
      </c>
      <c r="H212" s="760">
        <v>0</v>
      </c>
      <c r="I212" s="614">
        <v>90</v>
      </c>
      <c r="J212" s="694"/>
      <c r="K212" s="694"/>
      <c r="L212" s="615">
        <f>G212*P230/36500</f>
        <v>0</v>
      </c>
      <c r="M212" s="615">
        <f t="shared" si="107"/>
        <v>0</v>
      </c>
      <c r="N212" s="615">
        <f t="shared" si="108"/>
        <v>0</v>
      </c>
      <c r="O212" s="615">
        <f t="shared" si="111"/>
        <v>0</v>
      </c>
      <c r="P212" s="615">
        <f t="shared" si="109"/>
        <v>0</v>
      </c>
      <c r="Q212" s="615">
        <f t="shared" si="110"/>
        <v>0</v>
      </c>
      <c r="R212" s="790"/>
      <c r="S212" s="750"/>
    </row>
    <row r="213" spans="1:19" s="616" customFormat="1" x14ac:dyDescent="0.3">
      <c r="A213" s="744" t="s">
        <v>66</v>
      </c>
      <c r="B213" s="614"/>
      <c r="C213" s="753"/>
      <c r="D213" s="614">
        <v>90</v>
      </c>
      <c r="E213" s="753"/>
      <c r="F213" s="812">
        <v>261000</v>
      </c>
      <c r="G213" s="692">
        <f t="shared" si="112"/>
        <v>0</v>
      </c>
      <c r="H213" s="760">
        <v>0</v>
      </c>
      <c r="I213" s="614">
        <v>90</v>
      </c>
      <c r="J213" s="694"/>
      <c r="K213" s="694"/>
      <c r="L213" s="615">
        <f>G213*P231/36500</f>
        <v>0</v>
      </c>
      <c r="M213" s="615">
        <f t="shared" si="107"/>
        <v>0</v>
      </c>
      <c r="N213" s="615">
        <f t="shared" si="108"/>
        <v>0</v>
      </c>
      <c r="O213" s="615">
        <f t="shared" si="111"/>
        <v>0</v>
      </c>
      <c r="P213" s="615">
        <f t="shared" si="109"/>
        <v>0</v>
      </c>
      <c r="Q213" s="615">
        <f t="shared" si="110"/>
        <v>0</v>
      </c>
      <c r="R213" s="790"/>
      <c r="S213" s="750"/>
    </row>
    <row r="214" spans="1:19" s="616" customFormat="1" x14ac:dyDescent="0.3">
      <c r="A214" s="744" t="s">
        <v>66</v>
      </c>
      <c r="B214" s="614"/>
      <c r="C214" s="753"/>
      <c r="D214" s="614">
        <v>90</v>
      </c>
      <c r="E214" s="753"/>
      <c r="F214" s="812">
        <v>184000</v>
      </c>
      <c r="G214" s="692">
        <f>F214*H214</f>
        <v>0</v>
      </c>
      <c r="H214" s="760">
        <v>0</v>
      </c>
      <c r="I214" s="614">
        <v>90</v>
      </c>
      <c r="J214" s="694"/>
      <c r="K214" s="694"/>
      <c r="L214" s="615">
        <f>G214*P232/36500</f>
        <v>0</v>
      </c>
      <c r="M214" s="615">
        <f>L214*I214</f>
        <v>0</v>
      </c>
      <c r="N214" s="615">
        <f>M214-K214</f>
        <v>0</v>
      </c>
      <c r="O214" s="615">
        <f>H214-R214</f>
        <v>0</v>
      </c>
      <c r="P214" s="615">
        <f>O214*F214</f>
        <v>0</v>
      </c>
      <c r="Q214" s="615">
        <f>N214+P214</f>
        <v>0</v>
      </c>
      <c r="R214" s="790"/>
      <c r="S214" s="750"/>
    </row>
    <row r="215" spans="1:19" s="616" customFormat="1" x14ac:dyDescent="0.3">
      <c r="A215" s="744" t="s">
        <v>373</v>
      </c>
      <c r="B215" s="614"/>
      <c r="C215" s="753"/>
      <c r="D215" s="614">
        <v>90</v>
      </c>
      <c r="E215" s="753"/>
      <c r="F215" s="812">
        <v>30400</v>
      </c>
      <c r="G215" s="692">
        <f t="shared" si="112"/>
        <v>0</v>
      </c>
      <c r="H215" s="760"/>
      <c r="I215" s="614">
        <v>90</v>
      </c>
      <c r="J215" s="694"/>
      <c r="K215" s="694"/>
      <c r="L215" s="615">
        <f>G215*P231/36500</f>
        <v>0</v>
      </c>
      <c r="M215" s="615">
        <f t="shared" si="107"/>
        <v>0</v>
      </c>
      <c r="N215" s="615">
        <f t="shared" si="108"/>
        <v>0</v>
      </c>
      <c r="O215" s="615">
        <f t="shared" ref="O215:O221" si="113">H215-R215</f>
        <v>0</v>
      </c>
      <c r="P215" s="615">
        <f t="shared" si="109"/>
        <v>0</v>
      </c>
      <c r="Q215" s="615">
        <f t="shared" si="110"/>
        <v>0</v>
      </c>
      <c r="R215" s="790"/>
      <c r="S215" s="750"/>
    </row>
    <row r="216" spans="1:19" s="616" customFormat="1" x14ac:dyDescent="0.3">
      <c r="A216" s="744" t="s">
        <v>373</v>
      </c>
      <c r="B216" s="614"/>
      <c r="C216" s="753"/>
      <c r="D216" s="614">
        <v>90</v>
      </c>
      <c r="E216" s="753"/>
      <c r="F216" s="812">
        <v>76500</v>
      </c>
      <c r="G216" s="692">
        <f t="shared" si="112"/>
        <v>0</v>
      </c>
      <c r="H216" s="760"/>
      <c r="I216" s="614">
        <v>90</v>
      </c>
      <c r="J216" s="694"/>
      <c r="K216" s="694"/>
      <c r="L216" s="615">
        <f>G216*P232/36500</f>
        <v>0</v>
      </c>
      <c r="M216" s="615">
        <f t="shared" si="107"/>
        <v>0</v>
      </c>
      <c r="N216" s="615">
        <f t="shared" si="108"/>
        <v>0</v>
      </c>
      <c r="O216" s="615">
        <f t="shared" si="113"/>
        <v>0</v>
      </c>
      <c r="P216" s="615">
        <f t="shared" si="109"/>
        <v>0</v>
      </c>
      <c r="Q216" s="615">
        <f t="shared" si="110"/>
        <v>0</v>
      </c>
      <c r="R216" s="790"/>
      <c r="S216" s="750"/>
    </row>
    <row r="217" spans="1:19" s="616" customFormat="1" x14ac:dyDescent="0.3">
      <c r="A217" s="744" t="s">
        <v>206</v>
      </c>
      <c r="B217" s="614"/>
      <c r="C217" s="753"/>
      <c r="D217" s="614">
        <v>60</v>
      </c>
      <c r="E217" s="753"/>
      <c r="F217" s="812">
        <v>96850</v>
      </c>
      <c r="G217" s="692">
        <f t="shared" si="112"/>
        <v>0</v>
      </c>
      <c r="H217" s="760"/>
      <c r="I217" s="614">
        <v>90</v>
      </c>
      <c r="J217" s="694"/>
      <c r="K217" s="694"/>
      <c r="L217" s="615">
        <f>G217*P245/36500</f>
        <v>0</v>
      </c>
      <c r="M217" s="615">
        <f t="shared" si="107"/>
        <v>0</v>
      </c>
      <c r="N217" s="615">
        <f t="shared" si="108"/>
        <v>0</v>
      </c>
      <c r="O217" s="615">
        <f t="shared" si="113"/>
        <v>0</v>
      </c>
      <c r="P217" s="615">
        <f t="shared" si="109"/>
        <v>0</v>
      </c>
      <c r="Q217" s="615">
        <f t="shared" si="110"/>
        <v>0</v>
      </c>
      <c r="R217" s="790"/>
      <c r="S217" s="750"/>
    </row>
    <row r="218" spans="1:19" s="616" customFormat="1" x14ac:dyDescent="0.3">
      <c r="A218" s="744" t="s">
        <v>206</v>
      </c>
      <c r="B218" s="614"/>
      <c r="C218" s="753"/>
      <c r="D218" s="614">
        <v>60</v>
      </c>
      <c r="E218" s="753"/>
      <c r="F218" s="812">
        <v>185000</v>
      </c>
      <c r="G218" s="692">
        <f t="shared" si="112"/>
        <v>0</v>
      </c>
      <c r="H218" s="760"/>
      <c r="I218" s="614">
        <v>90</v>
      </c>
      <c r="J218" s="694"/>
      <c r="K218" s="694"/>
      <c r="L218" s="615">
        <f>G218*P246/36500</f>
        <v>0</v>
      </c>
      <c r="M218" s="615">
        <f t="shared" si="107"/>
        <v>0</v>
      </c>
      <c r="N218" s="615">
        <f t="shared" si="108"/>
        <v>0</v>
      </c>
      <c r="O218" s="615">
        <f t="shared" si="113"/>
        <v>0</v>
      </c>
      <c r="P218" s="615">
        <f t="shared" si="109"/>
        <v>0</v>
      </c>
      <c r="Q218" s="615">
        <f t="shared" si="110"/>
        <v>0</v>
      </c>
      <c r="R218" s="790"/>
      <c r="S218" s="750"/>
    </row>
    <row r="219" spans="1:19" s="711" customFormat="1" x14ac:dyDescent="0.3">
      <c r="A219" s="747" t="s">
        <v>206</v>
      </c>
      <c r="B219" s="687"/>
      <c r="C219" s="688">
        <f>E219-D219</f>
        <v>46119</v>
      </c>
      <c r="D219" s="687">
        <v>90</v>
      </c>
      <c r="E219" s="688">
        <v>46209</v>
      </c>
      <c r="F219" s="823">
        <v>262728.90000000002</v>
      </c>
      <c r="G219" s="689">
        <f t="shared" si="112"/>
        <v>73432727.550000012</v>
      </c>
      <c r="H219" s="761">
        <v>279.5</v>
      </c>
      <c r="I219" s="687">
        <v>90</v>
      </c>
      <c r="J219" s="690"/>
      <c r="K219" s="690"/>
      <c r="L219" s="691">
        <f>G219*P225/36500</f>
        <v>26093.766474616441</v>
      </c>
      <c r="M219" s="691">
        <f t="shared" si="107"/>
        <v>2348438.9827154796</v>
      </c>
      <c r="N219" s="691">
        <f t="shared" si="108"/>
        <v>2348438.9827154796</v>
      </c>
      <c r="O219" s="691">
        <f t="shared" si="113"/>
        <v>0.89999999999997726</v>
      </c>
      <c r="P219" s="691">
        <f t="shared" si="109"/>
        <v>236456.00999999404</v>
      </c>
      <c r="Q219" s="691">
        <f t="shared" si="110"/>
        <v>2584894.9927154738</v>
      </c>
      <c r="R219" s="798">
        <v>278.60000000000002</v>
      </c>
      <c r="S219" s="718" t="s">
        <v>360</v>
      </c>
    </row>
    <row r="220" spans="1:19" s="711" customFormat="1" x14ac:dyDescent="0.3">
      <c r="A220" s="747" t="s">
        <v>206</v>
      </c>
      <c r="B220" s="687"/>
      <c r="C220" s="688">
        <f>E220-D220</f>
        <v>46119</v>
      </c>
      <c r="D220" s="687">
        <v>90</v>
      </c>
      <c r="E220" s="688">
        <v>46209</v>
      </c>
      <c r="F220" s="823">
        <v>262500</v>
      </c>
      <c r="G220" s="689">
        <f t="shared" si="112"/>
        <v>73368750</v>
      </c>
      <c r="H220" s="761">
        <v>279.5</v>
      </c>
      <c r="I220" s="687">
        <v>90</v>
      </c>
      <c r="J220" s="690"/>
      <c r="K220" s="690"/>
      <c r="L220" s="691">
        <f>G220*P225/36500</f>
        <v>26071.032534246577</v>
      </c>
      <c r="M220" s="691">
        <f t="shared" si="107"/>
        <v>2346392.9280821919</v>
      </c>
      <c r="N220" s="691">
        <f t="shared" si="108"/>
        <v>2346392.9280821919</v>
      </c>
      <c r="O220" s="691">
        <f t="shared" si="113"/>
        <v>0.89999999999997726</v>
      </c>
      <c r="P220" s="691">
        <f t="shared" si="109"/>
        <v>236249.99999999403</v>
      </c>
      <c r="Q220" s="691">
        <f t="shared" si="110"/>
        <v>2582642.9280821858</v>
      </c>
      <c r="R220" s="798">
        <v>278.60000000000002</v>
      </c>
      <c r="S220" s="718" t="s">
        <v>360</v>
      </c>
    </row>
    <row r="221" spans="1:19" s="616" customFormat="1" x14ac:dyDescent="0.3">
      <c r="A221" s="744" t="s">
        <v>206</v>
      </c>
      <c r="B221" s="614"/>
      <c r="C221" s="753"/>
      <c r="D221" s="614">
        <v>60</v>
      </c>
      <c r="E221" s="753"/>
      <c r="F221" s="812">
        <v>18360</v>
      </c>
      <c r="G221" s="692">
        <f t="shared" si="112"/>
        <v>0</v>
      </c>
      <c r="H221" s="760"/>
      <c r="I221" s="614">
        <v>90</v>
      </c>
      <c r="J221" s="694"/>
      <c r="K221" s="694"/>
      <c r="L221" s="615">
        <f>G221*P247/36500</f>
        <v>0</v>
      </c>
      <c r="M221" s="615">
        <f t="shared" si="107"/>
        <v>0</v>
      </c>
      <c r="N221" s="615">
        <f t="shared" si="108"/>
        <v>0</v>
      </c>
      <c r="O221" s="615">
        <f t="shared" si="113"/>
        <v>0</v>
      </c>
      <c r="P221" s="615">
        <f t="shared" si="109"/>
        <v>0</v>
      </c>
      <c r="Q221" s="615">
        <f t="shared" si="110"/>
        <v>0</v>
      </c>
      <c r="R221" s="790"/>
      <c r="S221" s="750"/>
    </row>
    <row r="222" spans="1:19" x14ac:dyDescent="0.3">
      <c r="A222" s="743"/>
      <c r="B222" s="569"/>
      <c r="C222" s="570" t="s">
        <v>135</v>
      </c>
      <c r="D222" s="570"/>
      <c r="E222" s="781"/>
      <c r="F222" s="583">
        <f>SUBTOTAL(9,F112:F221)</f>
        <v>3287321.1999999997</v>
      </c>
      <c r="G222" s="583">
        <f>SUBTOTAL(9,G93:G221)</f>
        <v>541453932.54999995</v>
      </c>
      <c r="H222" s="583"/>
      <c r="I222" s="583"/>
      <c r="J222" s="583"/>
      <c r="K222" s="583"/>
      <c r="L222" s="583">
        <f t="shared" ref="L222:Q222" si="114">SUBTOTAL(9,L89:L221)</f>
        <v>187888.74600182191</v>
      </c>
      <c r="M222" s="583">
        <f t="shared" si="114"/>
        <v>16909987.140163973</v>
      </c>
      <c r="N222" s="583">
        <f t="shared" si="114"/>
        <v>16909987.140163973</v>
      </c>
      <c r="O222" s="583">
        <f t="shared" si="114"/>
        <v>8.0499999999997272</v>
      </c>
      <c r="P222" s="583">
        <f t="shared" si="114"/>
        <v>1366380.3499999526</v>
      </c>
      <c r="Q222" s="583">
        <f t="shared" si="114"/>
        <v>18276367.490163926</v>
      </c>
    </row>
    <row r="223" spans="1:19" x14ac:dyDescent="0.3">
      <c r="F223" s="599">
        <f>F222</f>
        <v>3287321.1999999997</v>
      </c>
      <c r="G223" s="599">
        <f>0*45</f>
        <v>0</v>
      </c>
    </row>
    <row r="224" spans="1:19" ht="16.2" thickBot="1" x14ac:dyDescent="0.35">
      <c r="F224" s="599">
        <f>F223</f>
        <v>3287321.1999999997</v>
      </c>
      <c r="G224" s="599"/>
      <c r="K224" s="442"/>
    </row>
    <row r="225" spans="7:16" ht="15" customHeight="1" x14ac:dyDescent="0.3">
      <c r="G225" s="599">
        <f>F224*285</f>
        <v>936886541.99999988</v>
      </c>
      <c r="L225" s="606"/>
      <c r="M225" s="565"/>
      <c r="N225" s="565" t="s">
        <v>206</v>
      </c>
      <c r="O225" s="730">
        <v>1.1499999999999999</v>
      </c>
      <c r="P225" s="729">
        <f>M228+O225</f>
        <v>12.97</v>
      </c>
    </row>
    <row r="226" spans="7:16" x14ac:dyDescent="0.3">
      <c r="G226" s="719">
        <f>+G225+G223</f>
        <v>936886541.99999988</v>
      </c>
      <c r="L226" s="607" t="s">
        <v>324</v>
      </c>
      <c r="N226" s="420" t="s">
        <v>326</v>
      </c>
      <c r="O226" s="605">
        <v>1</v>
      </c>
      <c r="P226" s="597">
        <f>M228+O226</f>
        <v>12.82</v>
      </c>
    </row>
    <row r="227" spans="7:16" x14ac:dyDescent="0.3">
      <c r="G227" s="599"/>
      <c r="I227" s="443"/>
      <c r="L227" s="566" t="s">
        <v>322</v>
      </c>
      <c r="M227" s="567">
        <v>11.93</v>
      </c>
      <c r="N227" s="568" t="s">
        <v>66</v>
      </c>
      <c r="O227" s="598">
        <v>1</v>
      </c>
      <c r="P227" s="597">
        <f>M228+O227</f>
        <v>12.82</v>
      </c>
    </row>
    <row r="228" spans="7:16" x14ac:dyDescent="0.3">
      <c r="G228" s="599"/>
      <c r="L228" s="566" t="s">
        <v>203</v>
      </c>
      <c r="M228" s="567">
        <v>11.82</v>
      </c>
      <c r="N228" s="568" t="s">
        <v>77</v>
      </c>
      <c r="O228" s="598">
        <v>0.75</v>
      </c>
      <c r="P228" s="597">
        <f>M229+O228</f>
        <v>12.64</v>
      </c>
    </row>
    <row r="229" spans="7:16" x14ac:dyDescent="0.3">
      <c r="L229" s="566" t="s">
        <v>323</v>
      </c>
      <c r="M229" s="567">
        <v>11.89</v>
      </c>
      <c r="N229" s="568" t="s">
        <v>205</v>
      </c>
      <c r="O229" s="598">
        <v>0.75</v>
      </c>
      <c r="P229" s="597">
        <f>M227+O229</f>
        <v>12.68</v>
      </c>
    </row>
    <row r="230" spans="7:16" x14ac:dyDescent="0.3">
      <c r="L230" s="608"/>
      <c r="N230" s="420" t="s">
        <v>207</v>
      </c>
      <c r="O230" s="605">
        <v>0.75</v>
      </c>
      <c r="P230" s="597">
        <f>M229+O230</f>
        <v>12.64</v>
      </c>
    </row>
    <row r="231" spans="7:16" x14ac:dyDescent="0.3">
      <c r="L231" s="608"/>
      <c r="N231" s="420" t="s">
        <v>67</v>
      </c>
      <c r="O231" s="605">
        <v>0.5</v>
      </c>
      <c r="P231" s="597">
        <f>+O231+M229</f>
        <v>12.39</v>
      </c>
    </row>
    <row r="232" spans="7:16" x14ac:dyDescent="0.3">
      <c r="L232" s="608"/>
      <c r="N232" s="420" t="s">
        <v>327</v>
      </c>
      <c r="O232" s="605">
        <v>1</v>
      </c>
      <c r="P232" s="597">
        <f>M227+O232</f>
        <v>12.93</v>
      </c>
    </row>
    <row r="233" spans="7:16" x14ac:dyDescent="0.3">
      <c r="L233" s="608"/>
      <c r="N233" s="420" t="s">
        <v>69</v>
      </c>
      <c r="O233" s="605">
        <v>0.5</v>
      </c>
      <c r="P233" s="597">
        <f>O233+M227</f>
        <v>12.43</v>
      </c>
    </row>
    <row r="234" spans="7:16" x14ac:dyDescent="0.3">
      <c r="L234" s="608"/>
      <c r="N234" s="420" t="s">
        <v>91</v>
      </c>
      <c r="O234" s="605">
        <v>0.5</v>
      </c>
      <c r="P234" s="597">
        <f>+O234+M228</f>
        <v>12.32</v>
      </c>
    </row>
    <row r="235" spans="7:16" ht="16.2" thickBot="1" x14ac:dyDescent="0.35">
      <c r="L235" s="600"/>
      <c r="M235" s="601"/>
      <c r="N235" s="601" t="s">
        <v>337</v>
      </c>
      <c r="O235" s="676">
        <v>1.1499999999999999</v>
      </c>
      <c r="P235" s="609">
        <f>+O235+M229</f>
        <v>13.040000000000001</v>
      </c>
    </row>
  </sheetData>
  <autoFilter ref="A7:S221" xr:uid="{89E2A29B-5F26-49D3-9F88-4C4093118745}">
    <filterColumn colId="4">
      <filters blank="1">
        <dateGroupItem year="2026" dateTimeGrouping="year"/>
        <dateGroupItem year="2025" dateTimeGrouping="year"/>
      </filters>
    </filterColumn>
    <filterColumn colId="18">
      <filters blank="1">
        <filter val="op"/>
        <filter val="Open"/>
      </filters>
    </filterColumn>
    <sortState xmlns:xlrd2="http://schemas.microsoft.com/office/spreadsheetml/2017/richdata2" ref="A7:S8">
      <sortCondition ref="E7"/>
    </sortState>
  </autoFilter>
  <pageMargins left="0" right="0.23622047244094491" top="0.78740157480314965" bottom="0" header="0.51181102362204722" footer="0.51181102362204722"/>
  <pageSetup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8139-7926-4579-9F65-4C4DFD54888F}">
  <sheetPr>
    <pageSetUpPr fitToPage="1"/>
  </sheetPr>
  <dimension ref="A1:BY47"/>
  <sheetViews>
    <sheetView view="pageBreakPreview" topLeftCell="A22" zoomScale="103" zoomScaleNormal="100" zoomScaleSheetLayoutView="100" workbookViewId="0">
      <selection activeCell="A38" sqref="A38:XFD38"/>
    </sheetView>
  </sheetViews>
  <sheetFormatPr defaultRowHeight="15" x14ac:dyDescent="0.25"/>
  <cols>
    <col min="1" max="1" width="14.26953125" style="175" customWidth="1"/>
    <col min="2" max="2" width="16.36328125" style="175" customWidth="1"/>
    <col min="3" max="3" width="3.26953125" style="175" customWidth="1"/>
    <col min="4" max="4" width="15.7265625" style="175" customWidth="1"/>
    <col min="5" max="5" width="18.1796875" style="175" customWidth="1"/>
    <col min="6" max="6" width="1.81640625" style="175" customWidth="1"/>
    <col min="7" max="7" width="2.1796875" style="175" customWidth="1"/>
    <col min="8" max="8" width="19.54296875" style="175" customWidth="1"/>
    <col min="9" max="9" width="13.54296875" style="175" customWidth="1"/>
    <col min="10" max="10" width="14.90625" style="175" customWidth="1"/>
    <col min="11" max="11" width="15.54296875" style="175" bestFit="1" customWidth="1"/>
    <col min="12" max="12" width="2.81640625" style="175" customWidth="1"/>
    <col min="13" max="13" width="16.1796875" style="175" customWidth="1"/>
    <col min="14" max="14" width="12.1796875" style="175" customWidth="1"/>
    <col min="15" max="15" width="14.1796875" style="175" bestFit="1" customWidth="1"/>
    <col min="16" max="16" width="14.81640625" style="175" customWidth="1"/>
    <col min="17" max="18" width="12.6328125" style="175" customWidth="1"/>
    <col min="19" max="20" width="15.90625" style="175" customWidth="1"/>
    <col min="21" max="21" width="14.54296875" style="175" customWidth="1"/>
    <col min="22" max="23" width="13.6328125" style="175" customWidth="1"/>
    <col min="24" max="24" width="16.08984375" style="175" customWidth="1"/>
    <col min="25" max="25" width="15.6328125" style="175" bestFit="1" customWidth="1"/>
    <col min="26" max="26" width="8.7265625" style="502"/>
    <col min="27" max="27" width="12.7265625" style="502" bestFit="1" customWidth="1"/>
    <col min="28" max="61" width="8.7265625" style="502"/>
    <col min="62" max="16384" width="8.7265625" style="175"/>
  </cols>
  <sheetData>
    <row r="1" spans="1:25" ht="15.6" thickBot="1" x14ac:dyDescent="0.3">
      <c r="A1" s="914"/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</row>
    <row r="2" spans="1:25" ht="40.200000000000003" customHeight="1" thickBot="1" x14ac:dyDescent="0.4">
      <c r="A2" s="921" t="s">
        <v>145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922"/>
      <c r="O2" s="922"/>
      <c r="P2" s="922"/>
      <c r="Q2" s="922"/>
      <c r="R2" s="922"/>
      <c r="S2" s="922"/>
      <c r="T2" s="922"/>
      <c r="U2" s="922"/>
      <c r="V2" s="922"/>
      <c r="W2" s="922"/>
      <c r="X2" s="922"/>
      <c r="Y2" s="923"/>
    </row>
    <row r="3" spans="1:25" ht="18" customHeight="1" thickBot="1" x14ac:dyDescent="0.3">
      <c r="A3" s="933" t="s">
        <v>144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  <c r="O3" s="934"/>
      <c r="P3" s="934"/>
      <c r="Q3" s="934"/>
      <c r="R3" s="934"/>
      <c r="S3" s="934"/>
      <c r="T3" s="934"/>
      <c r="U3" s="934"/>
      <c r="V3" s="934"/>
      <c r="W3" s="934"/>
      <c r="X3" s="934"/>
      <c r="Y3" s="935"/>
    </row>
    <row r="4" spans="1:25" ht="16.2" thickBot="1" x14ac:dyDescent="0.35">
      <c r="A4" s="927" t="s">
        <v>434</v>
      </c>
      <c r="B4" s="928"/>
      <c r="C4" s="928"/>
      <c r="D4" s="928"/>
      <c r="E4" s="928"/>
      <c r="F4" s="928"/>
      <c r="G4" s="928"/>
      <c r="H4" s="928"/>
      <c r="I4" s="928"/>
      <c r="J4" s="928"/>
      <c r="K4" s="928"/>
      <c r="L4" s="928"/>
      <c r="M4" s="928"/>
      <c r="N4" s="928"/>
      <c r="O4" s="928"/>
      <c r="P4" s="928"/>
      <c r="Q4" s="928"/>
      <c r="R4" s="928"/>
      <c r="S4" s="928"/>
      <c r="T4" s="928"/>
      <c r="U4" s="928"/>
      <c r="V4" s="928"/>
      <c r="W4" s="928"/>
      <c r="X4" s="928"/>
      <c r="Y4" s="929"/>
    </row>
    <row r="5" spans="1:25" ht="16.2" thickBot="1" x14ac:dyDescent="0.35">
      <c r="A5" s="178" t="s">
        <v>131</v>
      </c>
      <c r="B5" s="179" t="s">
        <v>132</v>
      </c>
      <c r="C5" s="179"/>
      <c r="D5" s="179" t="s">
        <v>133</v>
      </c>
      <c r="E5" s="180" t="s">
        <v>181</v>
      </c>
      <c r="H5" s="924" t="s">
        <v>143</v>
      </c>
      <c r="I5" s="925"/>
      <c r="J5" s="925"/>
      <c r="K5" s="926"/>
      <c r="L5" s="181"/>
      <c r="M5" s="918" t="s">
        <v>141</v>
      </c>
      <c r="N5" s="919"/>
      <c r="O5" s="919"/>
      <c r="P5" s="919"/>
      <c r="Q5" s="919"/>
      <c r="R5" s="919"/>
      <c r="S5" s="919"/>
      <c r="T5" s="919"/>
      <c r="U5" s="919"/>
      <c r="V5" s="919"/>
      <c r="W5" s="919"/>
      <c r="X5" s="919"/>
      <c r="Y5" s="920"/>
    </row>
    <row r="6" spans="1:25" ht="16.2" customHeight="1" thickBot="1" x14ac:dyDescent="0.3">
      <c r="A6" s="936"/>
      <c r="B6" s="937"/>
      <c r="C6" s="937"/>
      <c r="D6" s="937"/>
      <c r="E6" s="938"/>
      <c r="H6" s="915" t="s">
        <v>146</v>
      </c>
      <c r="I6" s="915" t="s">
        <v>147</v>
      </c>
      <c r="J6" s="915" t="s">
        <v>148</v>
      </c>
      <c r="K6" s="915" t="s">
        <v>0</v>
      </c>
      <c r="L6" s="817"/>
      <c r="M6" s="915" t="s">
        <v>209</v>
      </c>
      <c r="N6" s="915" t="s">
        <v>220</v>
      </c>
      <c r="O6" s="915" t="s">
        <v>142</v>
      </c>
      <c r="P6" s="915" t="s">
        <v>218</v>
      </c>
      <c r="Q6" s="915" t="s">
        <v>174</v>
      </c>
      <c r="R6" s="915" t="s">
        <v>151</v>
      </c>
      <c r="S6" s="915" t="s">
        <v>216</v>
      </c>
      <c r="T6" s="915" t="s">
        <v>175</v>
      </c>
      <c r="U6" s="915" t="s">
        <v>164</v>
      </c>
      <c r="V6" s="915" t="s">
        <v>149</v>
      </c>
      <c r="W6" s="915" t="s">
        <v>150</v>
      </c>
      <c r="X6" s="915" t="s">
        <v>202</v>
      </c>
      <c r="Y6" s="915" t="s">
        <v>0</v>
      </c>
    </row>
    <row r="7" spans="1:25" ht="79.2" customHeight="1" thickBot="1" x14ac:dyDescent="0.3">
      <c r="A7" s="171" t="s">
        <v>134</v>
      </c>
      <c r="B7" s="171" t="s">
        <v>271</v>
      </c>
      <c r="C7" s="171"/>
      <c r="D7" s="171" t="s">
        <v>272</v>
      </c>
      <c r="E7" s="172">
        <v>0</v>
      </c>
      <c r="H7" s="917"/>
      <c r="I7" s="917"/>
      <c r="J7" s="917"/>
      <c r="K7" s="916"/>
      <c r="L7" s="818"/>
      <c r="M7" s="916"/>
      <c r="N7" s="917"/>
      <c r="O7" s="916"/>
      <c r="P7" s="916"/>
      <c r="Q7" s="917"/>
      <c r="R7" s="917"/>
      <c r="S7" s="917"/>
      <c r="T7" s="917"/>
      <c r="U7" s="917"/>
      <c r="V7" s="917"/>
      <c r="W7" s="917"/>
      <c r="X7" s="916"/>
      <c r="Y7" s="917"/>
    </row>
    <row r="8" spans="1:25" ht="16.2" thickBot="1" x14ac:dyDescent="0.35">
      <c r="A8" s="176">
        <v>46204</v>
      </c>
      <c r="B8" s="173">
        <f>K8</f>
        <v>0</v>
      </c>
      <c r="C8" s="173"/>
      <c r="D8" s="173">
        <f>Y8</f>
        <v>0</v>
      </c>
      <c r="E8" s="189">
        <f t="shared" ref="E8:E36" si="0">SUM(E7+B8-D8)</f>
        <v>0</v>
      </c>
      <c r="H8" s="1029">
        <v>140000</v>
      </c>
      <c r="I8" s="1030">
        <v>1272593.92</v>
      </c>
      <c r="J8" s="184"/>
      <c r="K8" s="185">
        <f>H8+I8</f>
        <v>0</v>
      </c>
      <c r="M8" s="250"/>
      <c r="N8" s="192"/>
      <c r="O8" s="249"/>
      <c r="P8" s="187"/>
      <c r="Q8" s="419"/>
      <c r="R8" s="251"/>
      <c r="S8" s="186"/>
      <c r="T8" s="1031">
        <v>1272593.92</v>
      </c>
      <c r="U8" s="236"/>
      <c r="V8" s="187"/>
      <c r="W8" s="187"/>
      <c r="X8" s="236"/>
      <c r="Y8" s="182">
        <f>SUM(M8:X8)</f>
        <v>0</v>
      </c>
    </row>
    <row r="9" spans="1:25" s="502" customFormat="1" ht="16.2" thickBot="1" x14ac:dyDescent="0.35">
      <c r="A9" s="498">
        <f>+A8+1</f>
        <v>46205</v>
      </c>
      <c r="B9" s="499">
        <f t="shared" ref="B9:B33" si="1">K9</f>
        <v>0</v>
      </c>
      <c r="C9" s="500"/>
      <c r="D9" s="499">
        <f t="shared" ref="D9:D36" si="2">Y9</f>
        <v>0</v>
      </c>
      <c r="E9" s="501">
        <f t="shared" si="0"/>
        <v>0</v>
      </c>
      <c r="H9" s="1023">
        <v>210658060</v>
      </c>
      <c r="I9" s="1023">
        <v>40585489.34</v>
      </c>
      <c r="J9" s="504"/>
      <c r="K9" s="505">
        <f t="shared" ref="K9:K39" si="3">H9+I9</f>
        <v>0</v>
      </c>
      <c r="M9" s="1027">
        <v>4253372.63</v>
      </c>
      <c r="N9" s="507"/>
      <c r="O9" s="1025">
        <v>45000000</v>
      </c>
      <c r="P9" s="508"/>
      <c r="Q9" s="508"/>
      <c r="R9" s="508"/>
      <c r="S9" s="508"/>
      <c r="T9" s="1025">
        <v>4382488.8</v>
      </c>
      <c r="U9" s="508"/>
      <c r="V9" s="1026">
        <v>96</v>
      </c>
      <c r="W9" s="510"/>
      <c r="X9" s="1024">
        <v>1811090</v>
      </c>
      <c r="Y9" s="511">
        <f t="shared" ref="Y9:Y36" si="4">M9+N9+O9+P9+Q9+R9+S9+T9+U9+V9+W9+X9</f>
        <v>0</v>
      </c>
    </row>
    <row r="10" spans="1:25" s="502" customFormat="1" ht="16.2" thickBot="1" x14ac:dyDescent="0.35">
      <c r="A10" s="498">
        <f t="shared" ref="A10:A35" si="5">+A9+1</f>
        <v>46206</v>
      </c>
      <c r="B10" s="499">
        <f t="shared" si="1"/>
        <v>0</v>
      </c>
      <c r="C10" s="500"/>
      <c r="D10" s="499">
        <f t="shared" si="2"/>
        <v>0</v>
      </c>
      <c r="E10" s="501">
        <f t="shared" si="0"/>
        <v>0</v>
      </c>
      <c r="H10" s="1023">
        <v>41091627</v>
      </c>
      <c r="I10" s="1023">
        <v>116285955</v>
      </c>
      <c r="J10" s="504"/>
      <c r="K10" s="505">
        <f>H10+I10</f>
        <v>0</v>
      </c>
      <c r="M10" s="1028">
        <v>626355</v>
      </c>
      <c r="N10" s="507"/>
      <c r="O10" s="1025">
        <v>2662071</v>
      </c>
      <c r="P10" s="508"/>
      <c r="Q10" s="1025">
        <v>4650</v>
      </c>
      <c r="R10" s="508"/>
      <c r="S10" s="508"/>
      <c r="T10" s="1025">
        <v>589853.75</v>
      </c>
      <c r="U10" s="510"/>
      <c r="V10" s="1026">
        <v>752</v>
      </c>
      <c r="W10" s="510"/>
      <c r="X10" s="1026">
        <v>16868853</v>
      </c>
      <c r="Y10" s="511">
        <f t="shared" si="4"/>
        <v>0</v>
      </c>
    </row>
    <row r="11" spans="1:25" s="502" customFormat="1" ht="16.2" thickBot="1" x14ac:dyDescent="0.35">
      <c r="A11" s="498">
        <f t="shared" si="5"/>
        <v>46207</v>
      </c>
      <c r="B11" s="499">
        <f t="shared" si="1"/>
        <v>0</v>
      </c>
      <c r="C11" s="500"/>
      <c r="D11" s="499">
        <f t="shared" si="2"/>
        <v>0</v>
      </c>
      <c r="E11" s="501">
        <f t="shared" si="0"/>
        <v>0</v>
      </c>
      <c r="H11" s="1023">
        <v>5874800</v>
      </c>
      <c r="I11" s="1023">
        <v>705000</v>
      </c>
      <c r="J11" s="504"/>
      <c r="K11" s="505">
        <f t="shared" si="3"/>
        <v>0</v>
      </c>
      <c r="M11" s="506"/>
      <c r="N11" s="507"/>
      <c r="O11" s="508"/>
      <c r="P11" s="508"/>
      <c r="Q11" s="508"/>
      <c r="R11" s="508"/>
      <c r="S11" s="508"/>
      <c r="T11" s="508"/>
      <c r="U11" s="510"/>
      <c r="V11" s="510"/>
      <c r="W11" s="510"/>
      <c r="X11" s="510"/>
      <c r="Y11" s="511">
        <f t="shared" si="4"/>
        <v>0</v>
      </c>
    </row>
    <row r="12" spans="1:25" s="502" customFormat="1" ht="16.2" thickBot="1" x14ac:dyDescent="0.35">
      <c r="A12" s="498">
        <f t="shared" si="5"/>
        <v>46208</v>
      </c>
      <c r="B12" s="499">
        <f t="shared" si="1"/>
        <v>0</v>
      </c>
      <c r="C12" s="500"/>
      <c r="D12" s="499">
        <f t="shared" si="2"/>
        <v>0</v>
      </c>
      <c r="E12" s="501">
        <f t="shared" si="0"/>
        <v>0</v>
      </c>
      <c r="H12" s="503"/>
      <c r="I12" s="503"/>
      <c r="J12" s="504"/>
      <c r="K12" s="505">
        <f t="shared" si="3"/>
        <v>0</v>
      </c>
      <c r="M12" s="866"/>
      <c r="N12" s="507"/>
      <c r="O12" s="508"/>
      <c r="P12" s="508"/>
      <c r="Q12" s="508"/>
      <c r="R12" s="508"/>
      <c r="S12" s="508"/>
      <c r="T12" s="508"/>
      <c r="U12" s="510"/>
      <c r="V12" s="510"/>
      <c r="W12" s="510"/>
      <c r="X12" s="510"/>
      <c r="Y12" s="511">
        <f t="shared" si="4"/>
        <v>0</v>
      </c>
    </row>
    <row r="13" spans="1:25" s="502" customFormat="1" ht="16.2" thickBot="1" x14ac:dyDescent="0.35">
      <c r="A13" s="498">
        <f t="shared" si="5"/>
        <v>46209</v>
      </c>
      <c r="B13" s="499">
        <f t="shared" si="1"/>
        <v>0</v>
      </c>
      <c r="C13" s="500"/>
      <c r="D13" s="499">
        <f t="shared" si="2"/>
        <v>0</v>
      </c>
      <c r="E13" s="501">
        <f t="shared" si="0"/>
        <v>0</v>
      </c>
      <c r="H13" s="503"/>
      <c r="I13" s="503"/>
      <c r="J13" s="504"/>
      <c r="K13" s="505">
        <f>H13+I13</f>
        <v>0</v>
      </c>
      <c r="M13" s="506"/>
      <c r="N13" s="507"/>
      <c r="O13" s="508"/>
      <c r="P13" s="508"/>
      <c r="Q13" s="508"/>
      <c r="R13" s="508"/>
      <c r="S13" s="508"/>
      <c r="T13" s="508"/>
      <c r="U13" s="510"/>
      <c r="V13" s="510"/>
      <c r="W13" s="510"/>
      <c r="X13" s="508"/>
      <c r="Y13" s="511">
        <f t="shared" si="4"/>
        <v>0</v>
      </c>
    </row>
    <row r="14" spans="1:25" s="502" customFormat="1" ht="16.2" thickBot="1" x14ac:dyDescent="0.35">
      <c r="A14" s="498">
        <f t="shared" si="5"/>
        <v>46210</v>
      </c>
      <c r="B14" s="499">
        <f t="shared" si="1"/>
        <v>0</v>
      </c>
      <c r="C14" s="500"/>
      <c r="D14" s="499">
        <f t="shared" si="2"/>
        <v>0</v>
      </c>
      <c r="E14" s="501">
        <f t="shared" si="0"/>
        <v>0</v>
      </c>
      <c r="H14" s="503"/>
      <c r="I14" s="503"/>
      <c r="J14" s="504"/>
      <c r="K14" s="505">
        <f t="shared" si="3"/>
        <v>0</v>
      </c>
      <c r="M14" s="506"/>
      <c r="N14" s="507"/>
      <c r="O14" s="508"/>
      <c r="P14" s="508"/>
      <c r="Q14" s="508"/>
      <c r="R14" s="508"/>
      <c r="S14" s="508"/>
      <c r="T14" s="508"/>
      <c r="U14" s="510"/>
      <c r="V14" s="510"/>
      <c r="W14" s="510"/>
      <c r="X14" s="508"/>
      <c r="Y14" s="511">
        <f t="shared" si="4"/>
        <v>0</v>
      </c>
    </row>
    <row r="15" spans="1:25" s="502" customFormat="1" ht="16.2" thickBot="1" x14ac:dyDescent="0.35">
      <c r="A15" s="498">
        <f t="shared" si="5"/>
        <v>46211</v>
      </c>
      <c r="B15" s="499">
        <f t="shared" si="1"/>
        <v>0</v>
      </c>
      <c r="C15" s="500"/>
      <c r="D15" s="499">
        <f t="shared" si="2"/>
        <v>0</v>
      </c>
      <c r="E15" s="501">
        <f t="shared" si="0"/>
        <v>0</v>
      </c>
      <c r="H15" s="503"/>
      <c r="I15" s="503"/>
      <c r="J15" s="504"/>
      <c r="K15" s="505">
        <f>H15+I15</f>
        <v>0</v>
      </c>
      <c r="M15" s="506"/>
      <c r="N15" s="507"/>
      <c r="O15" s="508"/>
      <c r="P15" s="508"/>
      <c r="Q15" s="508"/>
      <c r="R15" s="508"/>
      <c r="S15" s="508"/>
      <c r="T15" s="508"/>
      <c r="U15" s="510"/>
      <c r="V15" s="510"/>
      <c r="W15" s="510"/>
      <c r="X15" s="510"/>
      <c r="Y15" s="511">
        <f t="shared" si="4"/>
        <v>0</v>
      </c>
    </row>
    <row r="16" spans="1:25" s="502" customFormat="1" ht="16.2" thickBot="1" x14ac:dyDescent="0.35">
      <c r="A16" s="498">
        <f t="shared" si="5"/>
        <v>46212</v>
      </c>
      <c r="B16" s="499">
        <f t="shared" si="1"/>
        <v>0</v>
      </c>
      <c r="C16" s="512"/>
      <c r="D16" s="499">
        <f t="shared" si="2"/>
        <v>0</v>
      </c>
      <c r="E16" s="501">
        <f t="shared" si="0"/>
        <v>0</v>
      </c>
      <c r="H16" s="503"/>
      <c r="I16" s="503"/>
      <c r="J16" s="504"/>
      <c r="K16" s="505">
        <f t="shared" si="3"/>
        <v>0</v>
      </c>
      <c r="M16" s="506"/>
      <c r="N16" s="507"/>
      <c r="O16" s="508"/>
      <c r="P16" s="508"/>
      <c r="Q16" s="508"/>
      <c r="R16" s="508"/>
      <c r="S16" s="508"/>
      <c r="T16" s="508"/>
      <c r="U16" s="508"/>
      <c r="V16" s="508"/>
      <c r="W16" s="508"/>
      <c r="X16" s="508"/>
      <c r="Y16" s="509">
        <f t="shared" si="4"/>
        <v>0</v>
      </c>
    </row>
    <row r="17" spans="1:28" s="502" customFormat="1" ht="16.2" thickBot="1" x14ac:dyDescent="0.35">
      <c r="A17" s="498">
        <f t="shared" si="5"/>
        <v>46213</v>
      </c>
      <c r="B17" s="499">
        <f t="shared" si="1"/>
        <v>0</v>
      </c>
      <c r="C17" s="512"/>
      <c r="D17" s="499">
        <f t="shared" si="2"/>
        <v>0</v>
      </c>
      <c r="E17" s="501">
        <f t="shared" si="0"/>
        <v>0</v>
      </c>
      <c r="H17" s="503"/>
      <c r="I17" s="503"/>
      <c r="J17" s="504"/>
      <c r="K17" s="505">
        <f t="shared" si="3"/>
        <v>0</v>
      </c>
      <c r="M17" s="506"/>
      <c r="N17" s="507"/>
      <c r="O17" s="508"/>
      <c r="P17" s="508"/>
      <c r="Q17" s="508"/>
      <c r="R17" s="508"/>
      <c r="S17" s="508"/>
      <c r="T17" s="508"/>
      <c r="U17" s="510"/>
      <c r="V17" s="510"/>
      <c r="W17" s="510"/>
      <c r="X17" s="510"/>
      <c r="Y17" s="509">
        <f t="shared" si="4"/>
        <v>0</v>
      </c>
    </row>
    <row r="18" spans="1:28" s="502" customFormat="1" ht="16.2" thickBot="1" x14ac:dyDescent="0.35">
      <c r="A18" s="498">
        <f t="shared" si="5"/>
        <v>46214</v>
      </c>
      <c r="B18" s="499">
        <f t="shared" si="1"/>
        <v>0</v>
      </c>
      <c r="C18" s="868"/>
      <c r="D18" s="499">
        <f t="shared" si="2"/>
        <v>0</v>
      </c>
      <c r="E18" s="501">
        <f t="shared" si="0"/>
        <v>0</v>
      </c>
      <c r="H18" s="503"/>
      <c r="I18" s="503"/>
      <c r="J18" s="504"/>
      <c r="K18" s="505">
        <f t="shared" si="3"/>
        <v>0</v>
      </c>
      <c r="M18" s="506"/>
      <c r="N18" s="507"/>
      <c r="O18" s="508"/>
      <c r="P18" s="508"/>
      <c r="Q18" s="508"/>
      <c r="R18" s="508"/>
      <c r="S18" s="508"/>
      <c r="T18" s="508"/>
      <c r="U18" s="508"/>
      <c r="V18" s="508"/>
      <c r="W18" s="508"/>
      <c r="X18" s="508"/>
      <c r="Y18" s="509">
        <f t="shared" si="4"/>
        <v>0</v>
      </c>
    </row>
    <row r="19" spans="1:28" s="502" customFormat="1" ht="16.2" thickBot="1" x14ac:dyDescent="0.35">
      <c r="A19" s="498">
        <f t="shared" si="5"/>
        <v>46215</v>
      </c>
      <c r="B19" s="499">
        <f t="shared" si="1"/>
        <v>0</v>
      </c>
      <c r="C19" s="500"/>
      <c r="D19" s="499">
        <f t="shared" si="2"/>
        <v>0</v>
      </c>
      <c r="E19" s="501">
        <f t="shared" si="0"/>
        <v>0</v>
      </c>
      <c r="H19" s="503"/>
      <c r="I19" s="503"/>
      <c r="J19" s="504"/>
      <c r="K19" s="505">
        <f t="shared" si="3"/>
        <v>0</v>
      </c>
      <c r="M19" s="506"/>
      <c r="N19" s="507"/>
      <c r="O19" s="508"/>
      <c r="P19" s="508"/>
      <c r="Q19" s="508"/>
      <c r="R19" s="508"/>
      <c r="S19" s="508"/>
      <c r="T19" s="508"/>
      <c r="U19" s="508"/>
      <c r="V19" s="508"/>
      <c r="W19" s="508"/>
      <c r="X19" s="330"/>
      <c r="Y19" s="509">
        <f t="shared" si="4"/>
        <v>0</v>
      </c>
    </row>
    <row r="20" spans="1:28" s="502" customFormat="1" ht="16.2" thickBot="1" x14ac:dyDescent="0.35">
      <c r="A20" s="498">
        <f>+A19+1</f>
        <v>46216</v>
      </c>
      <c r="B20" s="499">
        <f t="shared" si="1"/>
        <v>0</v>
      </c>
      <c r="C20" s="500"/>
      <c r="D20" s="499">
        <f t="shared" si="2"/>
        <v>0</v>
      </c>
      <c r="E20" s="501">
        <f t="shared" si="0"/>
        <v>0</v>
      </c>
      <c r="H20" s="503"/>
      <c r="I20" s="503"/>
      <c r="J20" s="504"/>
      <c r="K20" s="505">
        <f t="shared" si="3"/>
        <v>0</v>
      </c>
      <c r="M20" s="506"/>
      <c r="N20" s="507"/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509">
        <f t="shared" si="4"/>
        <v>0</v>
      </c>
    </row>
    <row r="21" spans="1:28" s="502" customFormat="1" ht="16.2" thickBot="1" x14ac:dyDescent="0.35">
      <c r="A21" s="498">
        <f t="shared" si="5"/>
        <v>46217</v>
      </c>
      <c r="B21" s="499">
        <f t="shared" si="1"/>
        <v>0</v>
      </c>
      <c r="C21" s="500"/>
      <c r="D21" s="499">
        <f t="shared" si="2"/>
        <v>0</v>
      </c>
      <c r="E21" s="501">
        <f t="shared" si="0"/>
        <v>0</v>
      </c>
      <c r="H21" s="503"/>
      <c r="I21" s="503"/>
      <c r="J21" s="504"/>
      <c r="K21" s="505">
        <f t="shared" si="3"/>
        <v>0</v>
      </c>
      <c r="M21" s="506"/>
      <c r="N21" s="507"/>
      <c r="O21" s="508"/>
      <c r="P21" s="508"/>
      <c r="Q21" s="508"/>
      <c r="R21" s="508"/>
      <c r="S21" s="508"/>
      <c r="T21" s="508"/>
      <c r="U21" s="508"/>
      <c r="V21" s="508"/>
      <c r="W21" s="508"/>
      <c r="X21" s="508"/>
      <c r="Y21" s="509">
        <f t="shared" si="4"/>
        <v>0</v>
      </c>
    </row>
    <row r="22" spans="1:28" s="502" customFormat="1" ht="16.2" thickBot="1" x14ac:dyDescent="0.35">
      <c r="A22" s="498">
        <f t="shared" si="5"/>
        <v>46218</v>
      </c>
      <c r="B22" s="499">
        <f t="shared" si="1"/>
        <v>0</v>
      </c>
      <c r="C22" s="500"/>
      <c r="D22" s="499">
        <f t="shared" si="2"/>
        <v>0</v>
      </c>
      <c r="E22" s="501">
        <f t="shared" si="0"/>
        <v>0</v>
      </c>
      <c r="H22" s="503"/>
      <c r="I22" s="503"/>
      <c r="J22" s="504"/>
      <c r="K22" s="505">
        <f t="shared" si="3"/>
        <v>0</v>
      </c>
      <c r="M22" s="506"/>
      <c r="N22" s="507"/>
      <c r="O22" s="508"/>
      <c r="P22" s="508"/>
      <c r="Q22" s="508"/>
      <c r="R22" s="508"/>
      <c r="S22" s="510"/>
      <c r="T22" s="508"/>
      <c r="U22" s="510"/>
      <c r="V22" s="510"/>
      <c r="W22" s="510"/>
      <c r="X22" s="510"/>
      <c r="Y22" s="511">
        <f t="shared" si="4"/>
        <v>0</v>
      </c>
    </row>
    <row r="23" spans="1:28" s="502" customFormat="1" ht="16.2" thickBot="1" x14ac:dyDescent="0.35">
      <c r="A23" s="869">
        <f t="shared" si="5"/>
        <v>46219</v>
      </c>
      <c r="B23" s="499">
        <f t="shared" si="1"/>
        <v>0</v>
      </c>
      <c r="C23" s="500"/>
      <c r="D23" s="499">
        <f t="shared" si="2"/>
        <v>0</v>
      </c>
      <c r="E23" s="501">
        <f t="shared" si="0"/>
        <v>0</v>
      </c>
      <c r="H23" s="503"/>
      <c r="I23" s="503"/>
      <c r="J23" s="504"/>
      <c r="K23" s="505">
        <f>H23+I23</f>
        <v>0</v>
      </c>
      <c r="M23" s="506"/>
      <c r="N23" s="507"/>
      <c r="O23" s="508"/>
      <c r="P23" s="508"/>
      <c r="Q23" s="508"/>
      <c r="R23" s="508"/>
      <c r="S23" s="508"/>
      <c r="T23" s="508"/>
      <c r="U23" s="510"/>
      <c r="V23" s="510"/>
      <c r="W23" s="510"/>
      <c r="X23" s="510"/>
      <c r="Y23" s="511">
        <f>M23+N23+O23+P23+Q23+R23+S23+T23+U23+V23+W23+X23</f>
        <v>0</v>
      </c>
    </row>
    <row r="24" spans="1:28" s="502" customFormat="1" ht="16.2" thickBot="1" x14ac:dyDescent="0.35">
      <c r="A24" s="498">
        <f t="shared" si="5"/>
        <v>46220</v>
      </c>
      <c r="B24" s="499">
        <f t="shared" si="1"/>
        <v>0</v>
      </c>
      <c r="C24" s="512"/>
      <c r="D24" s="499">
        <f t="shared" si="2"/>
        <v>0</v>
      </c>
      <c r="E24" s="501">
        <f t="shared" si="0"/>
        <v>0</v>
      </c>
      <c r="H24" s="503"/>
      <c r="I24" s="503"/>
      <c r="J24" s="504"/>
      <c r="K24" s="505">
        <f t="shared" si="3"/>
        <v>0</v>
      </c>
      <c r="M24" s="506"/>
      <c r="N24" s="507"/>
      <c r="O24" s="508"/>
      <c r="P24" s="508"/>
      <c r="Q24" s="508"/>
      <c r="R24" s="508"/>
      <c r="T24" s="508"/>
      <c r="U24" s="510"/>
      <c r="V24" s="508"/>
      <c r="W24" s="510"/>
      <c r="X24" s="510"/>
      <c r="Y24" s="511">
        <f>M24+N24+O24+P24+Q24+R24+S24+T24+U24+V24+W24+X24</f>
        <v>0</v>
      </c>
    </row>
    <row r="25" spans="1:28" s="502" customFormat="1" ht="16.2" thickBot="1" x14ac:dyDescent="0.35">
      <c r="A25" s="498">
        <f t="shared" si="5"/>
        <v>46221</v>
      </c>
      <c r="B25" s="499">
        <f t="shared" si="1"/>
        <v>0</v>
      </c>
      <c r="C25" s="512"/>
      <c r="D25" s="499">
        <f t="shared" si="2"/>
        <v>0</v>
      </c>
      <c r="E25" s="501">
        <f t="shared" si="0"/>
        <v>0</v>
      </c>
      <c r="H25" s="503"/>
      <c r="I25" s="503"/>
      <c r="J25" s="504"/>
      <c r="K25" s="505">
        <f t="shared" si="3"/>
        <v>0</v>
      </c>
      <c r="M25" s="506"/>
      <c r="N25" s="507"/>
      <c r="O25" s="508"/>
      <c r="P25" s="508"/>
      <c r="Q25" s="508"/>
      <c r="R25" s="508"/>
      <c r="S25" s="508"/>
      <c r="T25" s="508"/>
      <c r="U25" s="510"/>
      <c r="V25" s="510"/>
      <c r="W25" s="510"/>
      <c r="X25" s="510"/>
      <c r="Y25" s="511">
        <f>M25+N25+O25+P25+Q25+R25+S25+T25+U25+V25+W25+X25</f>
        <v>0</v>
      </c>
    </row>
    <row r="26" spans="1:28" s="502" customFormat="1" ht="16.2" thickBot="1" x14ac:dyDescent="0.35">
      <c r="A26" s="498">
        <f t="shared" si="5"/>
        <v>46222</v>
      </c>
      <c r="B26" s="499">
        <f>K26</f>
        <v>0</v>
      </c>
      <c r="C26" s="512"/>
      <c r="D26" s="499">
        <f t="shared" si="2"/>
        <v>0</v>
      </c>
      <c r="E26" s="501">
        <f t="shared" si="0"/>
        <v>0</v>
      </c>
      <c r="H26" s="503"/>
      <c r="I26" s="503"/>
      <c r="J26" s="504"/>
      <c r="K26" s="505">
        <f t="shared" si="3"/>
        <v>0</v>
      </c>
      <c r="M26" s="506"/>
      <c r="N26" s="507"/>
      <c r="O26" s="508"/>
      <c r="P26" s="508"/>
      <c r="Q26" s="508"/>
      <c r="R26" s="508"/>
      <c r="S26" s="508"/>
      <c r="T26" s="508"/>
      <c r="U26" s="510"/>
      <c r="V26" s="510"/>
      <c r="W26" s="510"/>
      <c r="X26" s="510"/>
      <c r="Y26" s="511">
        <f>M26+N26+O26+P26+Q26+R26+S26+T26+U26+V26+W26+X26</f>
        <v>0</v>
      </c>
    </row>
    <row r="27" spans="1:28" s="502" customFormat="1" ht="18.600000000000001" customHeight="1" thickBot="1" x14ac:dyDescent="0.35">
      <c r="A27" s="498">
        <f t="shared" si="5"/>
        <v>46223</v>
      </c>
      <c r="B27" s="499">
        <f>K27</f>
        <v>0</v>
      </c>
      <c r="C27" s="512"/>
      <c r="D27" s="499">
        <f t="shared" si="2"/>
        <v>0</v>
      </c>
      <c r="E27" s="501">
        <f t="shared" si="0"/>
        <v>0</v>
      </c>
      <c r="H27" s="503"/>
      <c r="I27" s="503"/>
      <c r="J27" s="504"/>
      <c r="K27" s="505">
        <f t="shared" si="3"/>
        <v>0</v>
      </c>
      <c r="M27" s="506"/>
      <c r="N27" s="858"/>
      <c r="O27" s="508"/>
      <c r="P27" s="508"/>
      <c r="Q27" s="508"/>
      <c r="R27" s="508"/>
      <c r="S27" s="508"/>
      <c r="T27" s="508"/>
      <c r="U27" s="510"/>
      <c r="V27" s="510"/>
      <c r="W27" s="510"/>
      <c r="X27" s="510"/>
      <c r="Y27" s="511">
        <f>M27+N27+O27+P27+Q27+R27+S27+T27+U27+V27+W27+X27</f>
        <v>0</v>
      </c>
      <c r="AB27" s="859"/>
    </row>
    <row r="28" spans="1:28" s="502" customFormat="1" ht="16.2" thickBot="1" x14ac:dyDescent="0.35">
      <c r="A28" s="498">
        <f t="shared" si="5"/>
        <v>46224</v>
      </c>
      <c r="B28" s="499">
        <f t="shared" si="1"/>
        <v>0</v>
      </c>
      <c r="C28" s="512"/>
      <c r="D28" s="499">
        <f t="shared" si="2"/>
        <v>0</v>
      </c>
      <c r="E28" s="501">
        <f t="shared" si="0"/>
        <v>0</v>
      </c>
      <c r="H28" s="503"/>
      <c r="I28" s="503"/>
      <c r="J28" s="504"/>
      <c r="K28" s="505">
        <f t="shared" si="3"/>
        <v>0</v>
      </c>
      <c r="M28" s="506"/>
      <c r="N28" s="507"/>
      <c r="O28" s="508"/>
      <c r="P28" s="508"/>
      <c r="Q28" s="508"/>
      <c r="R28" s="508"/>
      <c r="S28" s="508"/>
      <c r="T28" s="508"/>
      <c r="U28" s="510"/>
      <c r="V28" s="510"/>
      <c r="W28" s="510"/>
      <c r="X28" s="510"/>
      <c r="Y28" s="511">
        <f t="shared" si="4"/>
        <v>0</v>
      </c>
    </row>
    <row r="29" spans="1:28" s="502" customFormat="1" ht="16.2" thickBot="1" x14ac:dyDescent="0.35">
      <c r="A29" s="498">
        <f t="shared" si="5"/>
        <v>46225</v>
      </c>
      <c r="B29" s="499">
        <f t="shared" si="1"/>
        <v>0</v>
      </c>
      <c r="C29" s="512"/>
      <c r="D29" s="499">
        <f t="shared" si="2"/>
        <v>0</v>
      </c>
      <c r="E29" s="501">
        <f t="shared" si="0"/>
        <v>0</v>
      </c>
      <c r="H29" s="503"/>
      <c r="I29" s="503"/>
      <c r="J29" s="504"/>
      <c r="K29" s="505">
        <f t="shared" si="3"/>
        <v>0</v>
      </c>
      <c r="M29" s="506"/>
      <c r="N29" s="507"/>
      <c r="O29" s="508"/>
      <c r="P29" s="508"/>
      <c r="Q29" s="508"/>
      <c r="R29" s="508"/>
      <c r="S29" s="508"/>
      <c r="T29" s="508"/>
      <c r="U29" s="510"/>
      <c r="V29" s="510"/>
      <c r="W29" s="870"/>
      <c r="X29" s="510"/>
      <c r="Y29" s="511">
        <f t="shared" si="4"/>
        <v>0</v>
      </c>
    </row>
    <row r="30" spans="1:28" s="502" customFormat="1" ht="16.2" thickBot="1" x14ac:dyDescent="0.35">
      <c r="A30" s="498">
        <f t="shared" si="5"/>
        <v>46226</v>
      </c>
      <c r="B30" s="499">
        <f t="shared" si="1"/>
        <v>0</v>
      </c>
      <c r="C30" s="512"/>
      <c r="D30" s="499">
        <f t="shared" si="2"/>
        <v>0</v>
      </c>
      <c r="E30" s="501">
        <f t="shared" si="0"/>
        <v>0</v>
      </c>
      <c r="H30" s="503"/>
      <c r="I30" s="503"/>
      <c r="J30" s="504"/>
      <c r="K30" s="505">
        <f t="shared" si="3"/>
        <v>0</v>
      </c>
      <c r="M30" s="506"/>
      <c r="N30" s="507"/>
      <c r="O30" s="508"/>
      <c r="P30" s="508"/>
      <c r="Q30" s="508"/>
      <c r="R30" s="508"/>
      <c r="S30" s="508"/>
      <c r="T30" s="508"/>
      <c r="U30" s="510"/>
      <c r="V30" s="510"/>
      <c r="W30" s="510"/>
      <c r="X30" s="510"/>
      <c r="Y30" s="511">
        <f t="shared" si="4"/>
        <v>0</v>
      </c>
    </row>
    <row r="31" spans="1:28" s="502" customFormat="1" ht="16.2" thickBot="1" x14ac:dyDescent="0.35">
      <c r="A31" s="498">
        <f t="shared" si="5"/>
        <v>46227</v>
      </c>
      <c r="B31" s="499">
        <f t="shared" si="1"/>
        <v>0</v>
      </c>
      <c r="C31" s="512"/>
      <c r="D31" s="499">
        <f t="shared" si="2"/>
        <v>0</v>
      </c>
      <c r="E31" s="501">
        <f>SUM(E30+B31-D31)</f>
        <v>0</v>
      </c>
      <c r="H31" s="503"/>
      <c r="I31" s="503"/>
      <c r="J31" s="504"/>
      <c r="K31" s="505">
        <f t="shared" si="3"/>
        <v>0</v>
      </c>
      <c r="M31" s="506"/>
      <c r="N31" s="507"/>
      <c r="O31" s="508"/>
      <c r="P31" s="508"/>
      <c r="Q31" s="508"/>
      <c r="R31" s="508"/>
      <c r="S31" s="508"/>
      <c r="T31" s="508"/>
      <c r="U31" s="510"/>
      <c r="V31" s="510"/>
      <c r="W31" s="510"/>
      <c r="X31" s="510"/>
      <c r="Y31" s="511">
        <f t="shared" si="4"/>
        <v>0</v>
      </c>
    </row>
    <row r="32" spans="1:28" s="502" customFormat="1" ht="16.2" thickBot="1" x14ac:dyDescent="0.35">
      <c r="A32" s="498">
        <f t="shared" si="5"/>
        <v>46228</v>
      </c>
      <c r="B32" s="499">
        <f t="shared" si="1"/>
        <v>0</v>
      </c>
      <c r="C32" s="512"/>
      <c r="D32" s="499">
        <f t="shared" si="2"/>
        <v>0</v>
      </c>
      <c r="E32" s="501">
        <f t="shared" si="0"/>
        <v>0</v>
      </c>
      <c r="H32" s="503"/>
      <c r="I32" s="503"/>
      <c r="J32" s="504"/>
      <c r="K32" s="505">
        <f t="shared" ref="K32:K36" si="6">H32+I32</f>
        <v>0</v>
      </c>
      <c r="M32" s="506"/>
      <c r="N32" s="507"/>
      <c r="O32" s="508"/>
      <c r="P32" s="507"/>
      <c r="Q32" s="508"/>
      <c r="R32" s="508"/>
      <c r="S32" s="508"/>
      <c r="T32" s="508"/>
      <c r="U32" s="510"/>
      <c r="V32" s="510"/>
      <c r="W32" s="510"/>
      <c r="X32" s="510"/>
      <c r="Y32" s="511">
        <f t="shared" si="4"/>
        <v>0</v>
      </c>
    </row>
    <row r="33" spans="1:77" s="502" customFormat="1" ht="16.2" thickBot="1" x14ac:dyDescent="0.35">
      <c r="A33" s="498">
        <f t="shared" si="5"/>
        <v>46229</v>
      </c>
      <c r="B33" s="499">
        <f t="shared" si="1"/>
        <v>0</v>
      </c>
      <c r="C33" s="512"/>
      <c r="D33" s="499">
        <f t="shared" si="2"/>
        <v>0</v>
      </c>
      <c r="E33" s="501">
        <f t="shared" si="0"/>
        <v>0</v>
      </c>
      <c r="H33" s="503"/>
      <c r="I33" s="503"/>
      <c r="J33" s="504"/>
      <c r="K33" s="505">
        <f t="shared" si="6"/>
        <v>0</v>
      </c>
      <c r="M33" s="506"/>
      <c r="N33" s="507"/>
      <c r="O33" s="508"/>
      <c r="P33" s="508"/>
      <c r="Q33" s="508"/>
      <c r="R33" s="508"/>
      <c r="S33" s="508"/>
      <c r="T33" s="508"/>
      <c r="U33" s="510"/>
      <c r="V33" s="510"/>
      <c r="W33" s="510"/>
      <c r="X33" s="510"/>
      <c r="Y33" s="511">
        <f t="shared" si="4"/>
        <v>0</v>
      </c>
    </row>
    <row r="34" spans="1:77" s="502" customFormat="1" ht="16.2" thickBot="1" x14ac:dyDescent="0.35">
      <c r="A34" s="498">
        <f t="shared" si="5"/>
        <v>46230</v>
      </c>
      <c r="B34" s="499">
        <f>K34</f>
        <v>0</v>
      </c>
      <c r="C34" s="512"/>
      <c r="D34" s="499">
        <f t="shared" si="2"/>
        <v>0</v>
      </c>
      <c r="E34" s="501">
        <f t="shared" si="0"/>
        <v>0</v>
      </c>
      <c r="H34" s="503"/>
      <c r="I34" s="503"/>
      <c r="J34" s="504"/>
      <c r="K34" s="505">
        <f t="shared" si="6"/>
        <v>0</v>
      </c>
      <c r="M34" s="506"/>
      <c r="N34" s="507"/>
      <c r="O34" s="508"/>
      <c r="P34" s="508"/>
      <c r="Q34" s="508"/>
      <c r="R34" s="508"/>
      <c r="S34" s="508"/>
      <c r="T34" s="508"/>
      <c r="U34" s="510"/>
      <c r="V34" s="510"/>
      <c r="W34" s="510"/>
      <c r="X34" s="510"/>
      <c r="Y34" s="511">
        <f t="shared" si="4"/>
        <v>0</v>
      </c>
    </row>
    <row r="35" spans="1:77" s="502" customFormat="1" ht="16.2" thickBot="1" x14ac:dyDescent="0.35">
      <c r="A35" s="498">
        <f t="shared" si="5"/>
        <v>46231</v>
      </c>
      <c r="B35" s="499">
        <f>K35</f>
        <v>0</v>
      </c>
      <c r="C35" s="512"/>
      <c r="D35" s="499">
        <f t="shared" si="2"/>
        <v>0</v>
      </c>
      <c r="E35" s="501">
        <f t="shared" si="0"/>
        <v>0</v>
      </c>
      <c r="H35" s="503"/>
      <c r="I35" s="503"/>
      <c r="J35" s="504"/>
      <c r="K35" s="505">
        <f t="shared" si="6"/>
        <v>0</v>
      </c>
      <c r="M35" s="506"/>
      <c r="N35" s="507"/>
      <c r="O35" s="508"/>
      <c r="P35" s="508"/>
      <c r="Q35" s="508"/>
      <c r="R35" s="508"/>
      <c r="S35" s="508"/>
      <c r="T35" s="508"/>
      <c r="U35" s="510"/>
      <c r="V35" s="510"/>
      <c r="W35" s="510"/>
      <c r="X35" s="510"/>
      <c r="Y35" s="511">
        <f t="shared" si="4"/>
        <v>0</v>
      </c>
    </row>
    <row r="36" spans="1:77" s="502" customFormat="1" ht="16.2" thickBot="1" x14ac:dyDescent="0.35">
      <c r="A36" s="498">
        <f>+A35+1</f>
        <v>46232</v>
      </c>
      <c r="B36" s="499">
        <f>K36</f>
        <v>0</v>
      </c>
      <c r="C36" s="512"/>
      <c r="D36" s="499">
        <f t="shared" si="2"/>
        <v>0</v>
      </c>
      <c r="E36" s="501">
        <f t="shared" si="0"/>
        <v>0</v>
      </c>
      <c r="H36" s="503"/>
      <c r="I36" s="503"/>
      <c r="J36" s="504"/>
      <c r="K36" s="505">
        <f t="shared" si="6"/>
        <v>0</v>
      </c>
      <c r="M36" s="506"/>
      <c r="N36" s="507"/>
      <c r="O36" s="508"/>
      <c r="P36" s="508"/>
      <c r="Q36" s="508"/>
      <c r="R36" s="508"/>
      <c r="S36" s="508"/>
      <c r="T36" s="508"/>
      <c r="U36" s="510"/>
      <c r="V36" s="510"/>
      <c r="W36" s="510"/>
      <c r="X36" s="510"/>
      <c r="Y36" s="511">
        <f t="shared" si="4"/>
        <v>0</v>
      </c>
    </row>
    <row r="37" spans="1:77" s="502" customFormat="1" ht="16.2" thickBot="1" x14ac:dyDescent="0.35">
      <c r="A37" s="498">
        <f>+A36+1</f>
        <v>46233</v>
      </c>
      <c r="B37" s="499">
        <f>K37</f>
        <v>0</v>
      </c>
      <c r="C37" s="512"/>
      <c r="D37" s="499">
        <f t="shared" ref="D37" si="7">Y37</f>
        <v>0</v>
      </c>
      <c r="E37" s="501">
        <f t="shared" ref="E37" si="8">SUM(E36+B37-D37)</f>
        <v>0</v>
      </c>
      <c r="H37" s="503"/>
      <c r="I37" s="503"/>
      <c r="J37" s="504"/>
      <c r="K37" s="505">
        <f t="shared" ref="K37" si="9">H37+I37</f>
        <v>0</v>
      </c>
      <c r="M37" s="506"/>
      <c r="N37" s="507"/>
      <c r="O37" s="508"/>
      <c r="P37" s="508"/>
      <c r="Q37" s="508"/>
      <c r="R37" s="508"/>
      <c r="S37" s="508"/>
      <c r="T37" s="508"/>
      <c r="U37" s="510"/>
      <c r="V37" s="510"/>
      <c r="W37" s="510"/>
      <c r="X37" s="510"/>
      <c r="Y37" s="511">
        <f t="shared" ref="Y37" si="10">M37+N37+O37+P37+Q37+R37+S37+T37+U37+V37+W37+X37</f>
        <v>0</v>
      </c>
    </row>
    <row r="38" spans="1:77" s="502" customFormat="1" ht="16.2" thickBot="1" x14ac:dyDescent="0.35">
      <c r="A38" s="498">
        <f>+A37+1</f>
        <v>46234</v>
      </c>
      <c r="B38" s="499">
        <f>K38</f>
        <v>0</v>
      </c>
      <c r="C38" s="512"/>
      <c r="D38" s="499">
        <f t="shared" ref="D38" si="11">Y38</f>
        <v>0</v>
      </c>
      <c r="E38" s="501">
        <f t="shared" ref="E38" si="12">SUM(E37+B38-D38)</f>
        <v>0</v>
      </c>
      <c r="H38" s="503"/>
      <c r="I38" s="503"/>
      <c r="J38" s="504"/>
      <c r="K38" s="505">
        <f t="shared" ref="K38" si="13">H38+I38</f>
        <v>0</v>
      </c>
      <c r="M38" s="506"/>
      <c r="N38" s="507"/>
      <c r="O38" s="508"/>
      <c r="P38" s="508"/>
      <c r="Q38" s="508"/>
      <c r="R38" s="508"/>
      <c r="S38" s="508"/>
      <c r="T38" s="508"/>
      <c r="U38" s="510"/>
      <c r="V38" s="510"/>
      <c r="W38" s="510"/>
      <c r="X38" s="510"/>
      <c r="Y38" s="511">
        <f t="shared" ref="Y38" si="14">M38+N38+O38+P38+Q38+R38+S38+T38+U38+V38+W38+X38</f>
        <v>0</v>
      </c>
    </row>
    <row r="39" spans="1:77" s="502" customFormat="1" ht="16.2" thickBot="1" x14ac:dyDescent="0.35">
      <c r="A39" s="617"/>
      <c r="B39" s="618"/>
      <c r="C39" s="619"/>
      <c r="D39" s="618"/>
      <c r="E39" s="620"/>
      <c r="H39" s="621"/>
      <c r="I39" s="621"/>
      <c r="J39" s="622"/>
      <c r="K39" s="505">
        <f t="shared" si="3"/>
        <v>0</v>
      </c>
      <c r="M39" s="621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511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</row>
    <row r="40" spans="1:77" ht="16.2" thickBot="1" x14ac:dyDescent="0.35">
      <c r="A40" s="930"/>
      <c r="B40" s="931"/>
      <c r="C40" s="931"/>
      <c r="D40" s="931"/>
      <c r="E40" s="932"/>
      <c r="H40" s="188">
        <f>SUM(H8:H38)</f>
        <v>0</v>
      </c>
      <c r="I40" s="188">
        <f>SUM(I8:I38)</f>
        <v>0</v>
      </c>
      <c r="J40" s="188">
        <f>SUM(J8:J38)</f>
        <v>0</v>
      </c>
      <c r="K40" s="188">
        <f>SUM(K8:K38)</f>
        <v>0</v>
      </c>
      <c r="M40" s="188">
        <f t="shared" ref="M40:Y40" si="15">SUM(M8:M38)</f>
        <v>0</v>
      </c>
      <c r="N40" s="188">
        <f t="shared" si="15"/>
        <v>0</v>
      </c>
      <c r="O40" s="188">
        <f t="shared" si="15"/>
        <v>0</v>
      </c>
      <c r="P40" s="188">
        <f t="shared" si="15"/>
        <v>0</v>
      </c>
      <c r="Q40" s="188">
        <f t="shared" si="15"/>
        <v>0</v>
      </c>
      <c r="R40" s="188">
        <f t="shared" si="15"/>
        <v>0</v>
      </c>
      <c r="S40" s="188">
        <f t="shared" si="15"/>
        <v>0</v>
      </c>
      <c r="T40" s="188">
        <f t="shared" si="15"/>
        <v>0</v>
      </c>
      <c r="U40" s="188">
        <f t="shared" si="15"/>
        <v>0</v>
      </c>
      <c r="V40" s="188">
        <f t="shared" si="15"/>
        <v>0</v>
      </c>
      <c r="W40" s="188">
        <f t="shared" si="15"/>
        <v>0</v>
      </c>
      <c r="X40" s="188">
        <f t="shared" si="15"/>
        <v>0</v>
      </c>
      <c r="Y40" s="188">
        <f t="shared" si="15"/>
        <v>0</v>
      </c>
    </row>
    <row r="41" spans="1:77" ht="15" customHeight="1" thickBot="1" x14ac:dyDescent="0.3">
      <c r="A41" s="177" t="s">
        <v>135</v>
      </c>
      <c r="B41" s="174">
        <f>SUM(B8:B38)</f>
        <v>0</v>
      </c>
      <c r="C41" s="174"/>
      <c r="D41" s="174">
        <f>SUM(D8:D38)</f>
        <v>0</v>
      </c>
      <c r="E41" s="174">
        <f>SUM(B41-D41)</f>
        <v>0</v>
      </c>
    </row>
    <row r="42" spans="1:77" x14ac:dyDescent="0.25">
      <c r="J42" s="240"/>
      <c r="Q42" s="238"/>
    </row>
    <row r="43" spans="1:77" ht="15.6" x14ac:dyDescent="0.3">
      <c r="A43"/>
      <c r="B43"/>
      <c r="C43"/>
      <c r="D43"/>
      <c r="E43" s="213"/>
      <c r="P43" s="239"/>
    </row>
    <row r="44" spans="1:77" ht="15.6" x14ac:dyDescent="0.3">
      <c r="A44"/>
      <c r="B44"/>
      <c r="C44"/>
      <c r="D44"/>
      <c r="E44" s="213"/>
    </row>
    <row r="47" spans="1:77" x14ac:dyDescent="0.25">
      <c r="E47" s="238"/>
    </row>
  </sheetData>
  <mergeCells count="25">
    <mergeCell ref="A40:E40"/>
    <mergeCell ref="A3:Y3"/>
    <mergeCell ref="T6:T7"/>
    <mergeCell ref="U6:U7"/>
    <mergeCell ref="I6:I7"/>
    <mergeCell ref="M6:M7"/>
    <mergeCell ref="Y6:Y7"/>
    <mergeCell ref="N6:N7"/>
    <mergeCell ref="A6:E6"/>
    <mergeCell ref="A1:Y1"/>
    <mergeCell ref="O6:O7"/>
    <mergeCell ref="X6:X7"/>
    <mergeCell ref="Q6:Q7"/>
    <mergeCell ref="M5:Y5"/>
    <mergeCell ref="K6:K7"/>
    <mergeCell ref="J6:J7"/>
    <mergeCell ref="S6:S7"/>
    <mergeCell ref="P6:P7"/>
    <mergeCell ref="R6:R7"/>
    <mergeCell ref="A2:Y2"/>
    <mergeCell ref="H5:K5"/>
    <mergeCell ref="H6:H7"/>
    <mergeCell ref="A4:Y4"/>
    <mergeCell ref="V6:V7"/>
    <mergeCell ref="W6:W7"/>
  </mergeCells>
  <pageMargins left="0.7" right="0.7" top="0.75" bottom="0.75" header="0.3" footer="0.3"/>
  <pageSetup paperSize="9" scale="31" orientation="landscape" r:id="rId1"/>
  <colBreaks count="2" manualBreakCount="2">
    <brk id="12" max="40" man="1"/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1BF1-DAE8-4461-B1AA-3580A1EB06CE}">
  <sheetPr>
    <tabColor theme="0"/>
    <pageSetUpPr fitToPage="1"/>
  </sheetPr>
  <dimension ref="A1:V84"/>
  <sheetViews>
    <sheetView tabSelected="1" view="pageBreakPreview" topLeftCell="B6" zoomScale="70" zoomScaleNormal="70" zoomScaleSheetLayoutView="70" workbookViewId="0">
      <selection activeCell="R17" sqref="R17"/>
    </sheetView>
  </sheetViews>
  <sheetFormatPr defaultRowHeight="15" x14ac:dyDescent="0.25"/>
  <cols>
    <col min="1" max="1" width="45.6328125" customWidth="1"/>
    <col min="2" max="2" width="13.54296875" bestFit="1" customWidth="1"/>
    <col min="3" max="3" width="14.08984375" bestFit="1" customWidth="1"/>
    <col min="4" max="4" width="13.54296875" bestFit="1" customWidth="1"/>
    <col min="5" max="5" width="14.08984375" bestFit="1" customWidth="1"/>
    <col min="6" max="6" width="13.54296875" bestFit="1" customWidth="1"/>
    <col min="7" max="8" width="14.08984375" customWidth="1"/>
    <col min="9" max="9" width="13.54296875" bestFit="1" customWidth="1"/>
    <col min="10" max="10" width="14.08984375" bestFit="1" customWidth="1"/>
    <col min="11" max="12" width="13.54296875" bestFit="1" customWidth="1"/>
    <col min="13" max="13" width="13.90625" customWidth="1"/>
    <col min="14" max="14" width="14.54296875" customWidth="1"/>
    <col min="15" max="15" width="14.54296875" style="48" customWidth="1"/>
    <col min="16" max="16" width="13.54296875" bestFit="1" customWidth="1"/>
    <col min="17" max="17" width="13.54296875" customWidth="1"/>
    <col min="18" max="18" width="13.54296875" bestFit="1" customWidth="1"/>
    <col min="19" max="19" width="15.08984375" bestFit="1" customWidth="1"/>
    <col min="20" max="20" width="17.453125" bestFit="1" customWidth="1"/>
    <col min="21" max="21" width="16.36328125" customWidth="1"/>
    <col min="22" max="22" width="15" bestFit="1" customWidth="1"/>
  </cols>
  <sheetData>
    <row r="1" spans="1:22" ht="15.6" thickBot="1" x14ac:dyDescent="0.3">
      <c r="A1" s="880"/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2"/>
    </row>
    <row r="2" spans="1:22" s="361" customFormat="1" ht="30" customHeight="1" thickTop="1" thickBot="1" x14ac:dyDescent="0.6">
      <c r="A2" s="883" t="s">
        <v>84</v>
      </c>
      <c r="B2" s="884"/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/>
      <c r="P2" s="884"/>
      <c r="Q2" s="884"/>
      <c r="R2" s="884"/>
      <c r="S2" s="885"/>
    </row>
    <row r="3" spans="1:22" s="361" customFormat="1" ht="30" customHeight="1" thickBot="1" x14ac:dyDescent="0.5">
      <c r="A3" s="886" t="s">
        <v>74</v>
      </c>
      <c r="B3" s="887"/>
      <c r="C3" s="887"/>
      <c r="D3" s="887"/>
      <c r="E3" s="887"/>
      <c r="F3" s="887"/>
      <c r="G3" s="887"/>
      <c r="H3" s="887"/>
      <c r="I3" s="887"/>
      <c r="J3" s="887"/>
      <c r="K3" s="887"/>
      <c r="L3" s="887"/>
      <c r="M3" s="887"/>
      <c r="N3" s="887"/>
      <c r="O3" s="887"/>
      <c r="P3" s="887"/>
      <c r="Q3" s="887"/>
      <c r="R3" s="887"/>
      <c r="S3" s="888"/>
    </row>
    <row r="4" spans="1:22" s="361" customFormat="1" ht="30" customHeight="1" thickBot="1" x14ac:dyDescent="0.3">
      <c r="A4" s="889">
        <v>46175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1"/>
    </row>
    <row r="5" spans="1:22" s="361" customFormat="1" ht="30" customHeight="1" thickBot="1" x14ac:dyDescent="0.3">
      <c r="A5" s="892"/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4"/>
    </row>
    <row r="6" spans="1:22" s="371" customFormat="1" ht="30" customHeight="1" thickBot="1" x14ac:dyDescent="0.35">
      <c r="A6" s="363" t="s">
        <v>75</v>
      </c>
      <c r="B6" s="488" t="s">
        <v>76</v>
      </c>
      <c r="C6" s="488" t="s">
        <v>89</v>
      </c>
      <c r="D6" s="488" t="s">
        <v>253</v>
      </c>
      <c r="E6" s="488" t="s">
        <v>309</v>
      </c>
      <c r="F6" s="488" t="s">
        <v>212</v>
      </c>
      <c r="G6" s="488" t="s">
        <v>66</v>
      </c>
      <c r="H6" s="488" t="s">
        <v>332</v>
      </c>
      <c r="I6" s="488" t="s">
        <v>369</v>
      </c>
      <c r="J6" s="488" t="s">
        <v>67</v>
      </c>
      <c r="K6" s="488" t="s">
        <v>91</v>
      </c>
      <c r="L6" s="488" t="s">
        <v>68</v>
      </c>
      <c r="M6" s="488" t="s">
        <v>69</v>
      </c>
      <c r="N6" s="488" t="s">
        <v>77</v>
      </c>
      <c r="O6" s="489" t="s">
        <v>206</v>
      </c>
      <c r="P6" s="488" t="s">
        <v>71</v>
      </c>
      <c r="Q6" s="488" t="s">
        <v>408</v>
      </c>
      <c r="R6" s="488" t="s">
        <v>78</v>
      </c>
      <c r="S6" s="491" t="s">
        <v>59</v>
      </c>
      <c r="T6" s="361"/>
      <c r="U6" s="361"/>
    </row>
    <row r="7" spans="1:22" s="361" customFormat="1" ht="30" customHeight="1" thickBot="1" x14ac:dyDescent="0.35">
      <c r="A7" s="895"/>
      <c r="B7" s="896"/>
      <c r="C7" s="896"/>
      <c r="D7" s="896"/>
      <c r="E7" s="896"/>
      <c r="F7" s="896"/>
      <c r="G7" s="896"/>
      <c r="H7" s="896"/>
      <c r="I7" s="896"/>
      <c r="J7" s="896"/>
      <c r="K7" s="896"/>
      <c r="L7" s="896"/>
      <c r="M7" s="896"/>
      <c r="N7" s="896"/>
      <c r="O7" s="896"/>
      <c r="P7" s="896"/>
      <c r="Q7" s="896"/>
      <c r="R7" s="896"/>
      <c r="S7" s="897"/>
      <c r="T7" s="105"/>
    </row>
    <row r="8" spans="1:22" s="361" customFormat="1" ht="30" customHeight="1" x14ac:dyDescent="0.3">
      <c r="A8" s="364" t="s">
        <v>79</v>
      </c>
      <c r="B8" s="647">
        <v>600000000</v>
      </c>
      <c r="C8" s="857">
        <f>500000000-100000000</f>
        <v>400000000</v>
      </c>
      <c r="D8" s="857">
        <v>450000000</v>
      </c>
      <c r="E8" s="857">
        <v>300000000</v>
      </c>
      <c r="F8" s="857">
        <f>300000000-50000000</f>
        <v>250000000</v>
      </c>
      <c r="G8" s="857">
        <v>700000000</v>
      </c>
      <c r="H8" s="857">
        <v>400000000</v>
      </c>
      <c r="I8" s="857">
        <v>600000000</v>
      </c>
      <c r="J8" s="857">
        <f>600000000-J21</f>
        <v>500000000</v>
      </c>
      <c r="K8" s="857">
        <v>200000000</v>
      </c>
      <c r="L8" s="857">
        <f>200000000</f>
        <v>200000000</v>
      </c>
      <c r="M8" s="857">
        <v>250000000</v>
      </c>
      <c r="N8" s="857">
        <v>400000000</v>
      </c>
      <c r="O8" s="857">
        <f>580000000-O21</f>
        <v>400000000</v>
      </c>
      <c r="P8" s="857">
        <v>0</v>
      </c>
      <c r="Q8" s="857">
        <v>400000000</v>
      </c>
      <c r="R8" s="857">
        <v>400000000</v>
      </c>
      <c r="S8" s="649">
        <f>SUM(B8:R8)</f>
        <v>6450000000</v>
      </c>
      <c r="T8" s="362"/>
      <c r="U8" s="372"/>
      <c r="V8" s="372"/>
    </row>
    <row r="9" spans="1:22" s="361" customFormat="1" ht="30" customHeight="1" x14ac:dyDescent="0.3">
      <c r="A9" s="365" t="s">
        <v>137</v>
      </c>
      <c r="B9" s="669"/>
      <c r="C9" s="650">
        <f>245000*285</f>
        <v>69825000</v>
      </c>
      <c r="D9" s="650">
        <f>31680*285+19520*285+15200*285+55728*285+22704*285+45000*285+47500*285+22698*285+21672*285+45600*285+39110*285+25025*285+202020*285</f>
        <v>169135245</v>
      </c>
      <c r="E9" s="650"/>
      <c r="F9" s="650">
        <f>35072*285</f>
        <v>9995520</v>
      </c>
      <c r="G9" s="650">
        <f>139968*285</f>
        <v>39890880</v>
      </c>
      <c r="H9" s="650"/>
      <c r="I9" s="669">
        <v>0</v>
      </c>
      <c r="J9" s="650">
        <f>42336*285</f>
        <v>12065760</v>
      </c>
      <c r="K9" s="650">
        <f>18424*285+18875*285+105700*285+44960.36*285+24460*285</f>
        <v>60539517.600000001</v>
      </c>
      <c r="L9" s="650">
        <f>60480*285+66240*285+19440*285</f>
        <v>41655600</v>
      </c>
      <c r="M9" s="650">
        <f>186000*285+31726.2*285+90000*285</f>
        <v>87701967</v>
      </c>
      <c r="N9" s="650">
        <f>180000*285+32500*285+96808*285</f>
        <v>88152780</v>
      </c>
      <c r="O9" s="650">
        <f>26810.6*285+34560*285+51840*285+7663.2*285</f>
        <v>34449033</v>
      </c>
      <c r="P9" s="650">
        <v>0</v>
      </c>
      <c r="Q9" s="650">
        <v>0</v>
      </c>
      <c r="R9" s="650">
        <f>65320*285+30848.8*285+11206.8*285</f>
        <v>30602046</v>
      </c>
      <c r="S9" s="651">
        <f>SUM(B9:R9)</f>
        <v>644013348.60000002</v>
      </c>
      <c r="U9" s="372"/>
    </row>
    <row r="10" spans="1:22" s="361" customFormat="1" ht="30" customHeight="1" x14ac:dyDescent="0.3">
      <c r="A10" s="366" t="s">
        <v>138</v>
      </c>
      <c r="B10" s="671">
        <f>25920*285</f>
        <v>7387200</v>
      </c>
      <c r="C10" s="670">
        <f>232750*285+50880*285+50880*285</f>
        <v>95335350</v>
      </c>
      <c r="D10" s="650">
        <f>51840*285</f>
        <v>14774400</v>
      </c>
      <c r="E10" s="670">
        <v>0</v>
      </c>
      <c r="F10" s="670">
        <v>0</v>
      </c>
      <c r="G10" s="670">
        <f>122250*285+261000*285+184000*285</f>
        <v>161666250</v>
      </c>
      <c r="H10" s="670">
        <v>0</v>
      </c>
      <c r="I10" s="671">
        <v>0</v>
      </c>
      <c r="J10" s="670">
        <f>96850*285+49920*285+109850*285+263000*285+263000*285</f>
        <v>223046700</v>
      </c>
      <c r="K10" s="670">
        <f>150297*285</f>
        <v>42834645</v>
      </c>
      <c r="L10" s="670">
        <f>18540*285+18180*285+51840*285</f>
        <v>25239600</v>
      </c>
      <c r="M10" s="670">
        <f>56564.2*285+24480*285</f>
        <v>23097597</v>
      </c>
      <c r="N10" s="670">
        <f>30400*285+76500*285</f>
        <v>30466500</v>
      </c>
      <c r="O10" s="670">
        <f>96850*285+185000*285+18360*285+262500*285+262500*285</f>
        <v>235184850</v>
      </c>
      <c r="P10" s="670">
        <v>0</v>
      </c>
      <c r="Q10" s="670">
        <v>0</v>
      </c>
      <c r="R10" s="670"/>
      <c r="S10" s="652">
        <f>SUM(B10:R10)</f>
        <v>859033092</v>
      </c>
      <c r="T10" s="372"/>
      <c r="U10" s="372"/>
    </row>
    <row r="11" spans="1:22" s="361" customFormat="1" ht="30" customHeight="1" x14ac:dyDescent="0.3">
      <c r="A11" s="366" t="s">
        <v>86</v>
      </c>
      <c r="B11" s="653">
        <v>0</v>
      </c>
      <c r="C11" s="654">
        <v>0</v>
      </c>
      <c r="D11" s="654">
        <v>0</v>
      </c>
      <c r="E11" s="654">
        <v>0</v>
      </c>
      <c r="F11" s="654">
        <v>0</v>
      </c>
      <c r="G11" s="765">
        <v>0</v>
      </c>
      <c r="H11" s="654">
        <v>0</v>
      </c>
      <c r="I11" s="653">
        <v>0</v>
      </c>
      <c r="J11" s="654">
        <v>0</v>
      </c>
      <c r="K11" s="654">
        <v>0</v>
      </c>
      <c r="L11" s="654">
        <v>0</v>
      </c>
      <c r="M11" s="654">
        <v>0</v>
      </c>
      <c r="N11" s="654">
        <v>0</v>
      </c>
      <c r="O11" s="654">
        <v>0</v>
      </c>
      <c r="P11" s="654">
        <v>0</v>
      </c>
      <c r="Q11" s="654">
        <v>0</v>
      </c>
      <c r="R11" s="654">
        <f>26112*285+26810*285+37120*285+2250*285+10200*285+11800*285+5150*285</f>
        <v>34040970</v>
      </c>
      <c r="S11" s="652">
        <f>SUM(B11:R11)</f>
        <v>34040970</v>
      </c>
    </row>
    <row r="12" spans="1:22" s="361" customFormat="1" ht="30" customHeight="1" thickBot="1" x14ac:dyDescent="0.35">
      <c r="A12" s="388" t="s">
        <v>80</v>
      </c>
      <c r="B12" s="655">
        <f>+B8-B9-B16-B10</f>
        <v>392612800</v>
      </c>
      <c r="C12" s="655">
        <f>+C8-C9-C16-C10</f>
        <v>169952080</v>
      </c>
      <c r="D12" s="655">
        <f>+D8-D9-D16-D10</f>
        <v>48927387.800000012</v>
      </c>
      <c r="E12" s="655">
        <f>+E8-E9-E16</f>
        <v>238799048.07999998</v>
      </c>
      <c r="F12" s="655">
        <f>+F8-F9-F16</f>
        <v>191875238</v>
      </c>
      <c r="G12" s="655">
        <f t="shared" ref="G12:N12" si="0">+G8-G9-G16-G10</f>
        <v>352429586.72000003</v>
      </c>
      <c r="H12" s="655">
        <f t="shared" si="0"/>
        <v>400000000</v>
      </c>
      <c r="I12" s="655">
        <f t="shared" si="0"/>
        <v>0</v>
      </c>
      <c r="J12" s="655">
        <f>+J8-J9-J16-J10</f>
        <v>140056864.72000003</v>
      </c>
      <c r="K12" s="655">
        <f t="shared" si="0"/>
        <v>53980899.900000006</v>
      </c>
      <c r="L12" s="655">
        <f>+L8-L9-L16-L10</f>
        <v>108758800</v>
      </c>
      <c r="M12" s="655">
        <f t="shared" si="0"/>
        <v>118429436</v>
      </c>
      <c r="N12" s="655">
        <f t="shared" si="0"/>
        <v>72952446.340000033</v>
      </c>
      <c r="O12" s="655">
        <f>+O8-O9-O16-O10</f>
        <v>110855647</v>
      </c>
      <c r="P12" s="655">
        <f>+P8-P9-P16-P10</f>
        <v>0</v>
      </c>
      <c r="Q12" s="655">
        <f>+Q8-Q9-Q16-Q10</f>
        <v>400000000</v>
      </c>
      <c r="R12" s="655">
        <f>+R8-R9-R16-R10-R11</f>
        <v>335356984</v>
      </c>
      <c r="S12" s="656">
        <f>SUM(B12:R12)</f>
        <v>3134987218.5600004</v>
      </c>
      <c r="T12" s="373"/>
    </row>
    <row r="13" spans="1:22" s="361" customFormat="1" ht="30" customHeight="1" thickTop="1" thickBot="1" x14ac:dyDescent="0.35">
      <c r="A13" s="874"/>
      <c r="B13" s="875"/>
      <c r="C13" s="875"/>
      <c r="D13" s="875"/>
      <c r="E13" s="875"/>
      <c r="F13" s="875"/>
      <c r="G13" s="875"/>
      <c r="H13" s="875"/>
      <c r="I13" s="875"/>
      <c r="J13" s="875"/>
      <c r="K13" s="875"/>
      <c r="L13" s="875"/>
      <c r="M13" s="875"/>
      <c r="N13" s="875"/>
      <c r="O13" s="875"/>
      <c r="P13" s="875"/>
      <c r="Q13" s="875"/>
      <c r="R13" s="875"/>
      <c r="S13" s="876"/>
    </row>
    <row r="14" spans="1:22" s="361" customFormat="1" ht="30" customHeight="1" thickBot="1" x14ac:dyDescent="0.35">
      <c r="A14" s="363" t="s">
        <v>92</v>
      </c>
      <c r="B14" s="488" t="s">
        <v>404</v>
      </c>
      <c r="C14" s="488" t="s">
        <v>176</v>
      </c>
      <c r="D14" s="488" t="s">
        <v>178</v>
      </c>
      <c r="E14" s="488" t="s">
        <v>252</v>
      </c>
      <c r="F14" s="488" t="s">
        <v>214</v>
      </c>
      <c r="G14" s="488" t="s">
        <v>178</v>
      </c>
      <c r="H14" s="488" t="s">
        <v>90</v>
      </c>
      <c r="I14" s="488" t="s">
        <v>370</v>
      </c>
      <c r="J14" s="488" t="s">
        <v>225</v>
      </c>
      <c r="K14" s="488" t="s">
        <v>70</v>
      </c>
      <c r="L14" s="488" t="s">
        <v>178</v>
      </c>
      <c r="M14" s="488" t="s">
        <v>224</v>
      </c>
      <c r="N14" s="488" t="s">
        <v>200</v>
      </c>
      <c r="O14" s="489" t="s">
        <v>351</v>
      </c>
      <c r="P14" s="487">
        <v>0</v>
      </c>
      <c r="Q14" s="487" t="s">
        <v>409</v>
      </c>
      <c r="R14" s="488" t="s">
        <v>200</v>
      </c>
      <c r="S14" s="490"/>
    </row>
    <row r="15" spans="1:22" s="361" customFormat="1" ht="30" customHeight="1" x14ac:dyDescent="0.25">
      <c r="A15" s="367" t="s">
        <v>140</v>
      </c>
      <c r="B15" s="657">
        <v>600000000</v>
      </c>
      <c r="C15" s="657">
        <f>500000000-100000000</f>
        <v>400000000</v>
      </c>
      <c r="D15" s="657">
        <v>350000000</v>
      </c>
      <c r="E15" s="657">
        <v>300000000</v>
      </c>
      <c r="F15" s="657">
        <f>300000000-50000000</f>
        <v>250000000</v>
      </c>
      <c r="G15" s="657">
        <v>525000000</v>
      </c>
      <c r="H15" s="657">
        <f>300000000</f>
        <v>300000000</v>
      </c>
      <c r="I15" s="657">
        <v>600000000</v>
      </c>
      <c r="J15" s="657">
        <f>600000000-J21</f>
        <v>500000000</v>
      </c>
      <c r="K15" s="657">
        <v>150000000</v>
      </c>
      <c r="L15" s="657">
        <f>175000000-L21</f>
        <v>125000000</v>
      </c>
      <c r="M15" s="657">
        <v>250000000</v>
      </c>
      <c r="N15" s="657">
        <v>300000000</v>
      </c>
      <c r="O15" s="657">
        <f>580000000-O21</f>
        <v>400000000</v>
      </c>
      <c r="P15" s="658">
        <v>0</v>
      </c>
      <c r="Q15" s="658">
        <v>400000000</v>
      </c>
      <c r="R15" s="657">
        <v>350000000</v>
      </c>
      <c r="S15" s="659">
        <f>SUM(B15:R15)</f>
        <v>5800000000</v>
      </c>
      <c r="T15" s="372"/>
      <c r="U15" s="372"/>
    </row>
    <row r="16" spans="1:22" s="361" customFormat="1" ht="30" customHeight="1" x14ac:dyDescent="0.25">
      <c r="A16" s="368" t="s">
        <v>136</v>
      </c>
      <c r="B16" s="838">
        <f>'AL-BARAKA-ISTISNA'!C36</f>
        <v>200000000</v>
      </c>
      <c r="C16" s="838">
        <f>'ALFALAH-FATR'!D36</f>
        <v>64887570.000000007</v>
      </c>
      <c r="D16" s="838">
        <f>'ASKARI - FATR'!K36</f>
        <v>217162967.19999999</v>
      </c>
      <c r="E16" s="838">
        <f>'ALLIED BANK - FATR'!G36</f>
        <v>61200951.920000002</v>
      </c>
      <c r="F16" s="660">
        <f>'BANK ISLAMI'!D36</f>
        <v>48129242</v>
      </c>
      <c r="G16" s="660">
        <f>'BOP-FATR'!F36</f>
        <v>146013283.28</v>
      </c>
      <c r="H16" s="660">
        <f>'BOK - FATR'!C36</f>
        <v>0</v>
      </c>
      <c r="I16" s="838">
        <f>'FBL-ISTISNA'!E36</f>
        <v>600000000</v>
      </c>
      <c r="J16" s="660">
        <f>'HBL-FATR '!I36</f>
        <v>124830675.28</v>
      </c>
      <c r="K16" s="660">
        <f>'HABIB METROPOLITAN-FATR'!F36</f>
        <v>42644937.5</v>
      </c>
      <c r="L16" s="660">
        <f>'JS-FATR'!C36</f>
        <v>24346000</v>
      </c>
      <c r="M16" s="660">
        <f>'MCB-FATR'!C36</f>
        <v>20771000</v>
      </c>
      <c r="N16" s="660">
        <f>'MEEZAN-MUSAWAMAH'!K36</f>
        <v>208428273.65999997</v>
      </c>
      <c r="O16" s="660">
        <f>'NBP - FATR'!C36</f>
        <v>19510470</v>
      </c>
      <c r="P16" s="660">
        <v>0</v>
      </c>
      <c r="Q16" s="660">
        <f>'SAMBA-FATR'!C36</f>
        <v>0</v>
      </c>
      <c r="R16" s="660">
        <f>'SONERI-FATR'!C36</f>
        <v>0</v>
      </c>
      <c r="S16" s="661">
        <f>SUM(B16:R16)</f>
        <v>1777925370.8400002</v>
      </c>
      <c r="T16" s="239"/>
      <c r="U16" s="372"/>
    </row>
    <row r="17" spans="1:21" s="361" customFormat="1" ht="30" customHeight="1" x14ac:dyDescent="0.25">
      <c r="A17" s="369" t="s">
        <v>139</v>
      </c>
      <c r="B17" s="662">
        <v>0</v>
      </c>
      <c r="C17" s="662">
        <v>0</v>
      </c>
      <c r="D17" s="662">
        <v>0</v>
      </c>
      <c r="E17" s="662">
        <v>0</v>
      </c>
      <c r="F17" s="662">
        <v>0</v>
      </c>
      <c r="G17" s="662">
        <v>0</v>
      </c>
      <c r="H17" s="662"/>
      <c r="I17" s="662">
        <v>0</v>
      </c>
      <c r="J17" s="662">
        <v>0</v>
      </c>
      <c r="K17" s="662">
        <v>0</v>
      </c>
      <c r="L17" s="662">
        <v>0</v>
      </c>
      <c r="M17" s="662">
        <v>0</v>
      </c>
      <c r="N17" s="662">
        <v>0</v>
      </c>
      <c r="O17" s="662">
        <v>0</v>
      </c>
      <c r="P17" s="662">
        <v>0</v>
      </c>
      <c r="Q17" s="662">
        <v>0</v>
      </c>
      <c r="R17" s="662">
        <v>0</v>
      </c>
      <c r="S17" s="663">
        <f>SUM(B17:R17)</f>
        <v>0</v>
      </c>
      <c r="U17" s="372"/>
    </row>
    <row r="18" spans="1:21" s="361" customFormat="1" ht="30" customHeight="1" thickBot="1" x14ac:dyDescent="0.3">
      <c r="A18" s="387" t="s">
        <v>129</v>
      </c>
      <c r="B18" s="664">
        <f>B15-SUM(B9+B16+B17)</f>
        <v>400000000</v>
      </c>
      <c r="C18" s="664">
        <f>C15+-SUM(C16+C17+C9+C10)</f>
        <v>169952080</v>
      </c>
      <c r="D18" s="664">
        <f>D15-SUM(D16+D17+D9)</f>
        <v>-36298212.199999988</v>
      </c>
      <c r="E18" s="664">
        <f>E15-SUM(E16+E17+E9)</f>
        <v>238799048.07999998</v>
      </c>
      <c r="F18" s="664">
        <f>F15-SUM(+F9+F16+F17)</f>
        <v>191875238</v>
      </c>
      <c r="G18" s="664">
        <f>G15-SUM(G16+G17+G9+G10)</f>
        <v>177429586.72000003</v>
      </c>
      <c r="H18" s="664">
        <f>H15-SUM(H16+H17+H9+H10)</f>
        <v>300000000</v>
      </c>
      <c r="I18" s="664">
        <f>I15-SUM(I9+I16+I17)</f>
        <v>0</v>
      </c>
      <c r="J18" s="664">
        <f>J15-SUM(J16+J17+J10+J9)</f>
        <v>140056864.72000003</v>
      </c>
      <c r="K18" s="664">
        <f>K15-SUM(K16+K17)</f>
        <v>107355062.5</v>
      </c>
      <c r="L18" s="664">
        <f t="shared" ref="L18:Q18" si="1">L15-SUM(L16+L17+L9+L10)</f>
        <v>33758800</v>
      </c>
      <c r="M18" s="664">
        <f t="shared" si="1"/>
        <v>118429436</v>
      </c>
      <c r="N18" s="664">
        <f t="shared" si="1"/>
        <v>-27047553.659999967</v>
      </c>
      <c r="O18" s="664">
        <f t="shared" si="1"/>
        <v>110855647</v>
      </c>
      <c r="P18" s="664">
        <f t="shared" si="1"/>
        <v>0</v>
      </c>
      <c r="Q18" s="664">
        <f t="shared" si="1"/>
        <v>400000000</v>
      </c>
      <c r="R18" s="664">
        <f>R15-SUM(R16+R17+R9+R10-R11)</f>
        <v>353438924</v>
      </c>
      <c r="S18" s="665">
        <f>SUM(B18:R18)</f>
        <v>2678604921.1599998</v>
      </c>
    </row>
    <row r="19" spans="1:21" s="361" customFormat="1" ht="30" customHeight="1" thickTop="1" thickBot="1" x14ac:dyDescent="0.35">
      <c r="A19" s="877"/>
      <c r="B19" s="878"/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878"/>
      <c r="P19" s="878"/>
      <c r="Q19" s="878"/>
      <c r="R19" s="878"/>
      <c r="S19" s="879"/>
    </row>
    <row r="20" spans="1:21" s="361" customFormat="1" ht="30" customHeight="1" thickBot="1" x14ac:dyDescent="0.35">
      <c r="A20" s="363" t="s">
        <v>92</v>
      </c>
      <c r="B20" s="487">
        <v>0</v>
      </c>
      <c r="C20" s="488" t="s">
        <v>176</v>
      </c>
      <c r="D20" s="488" t="s">
        <v>364</v>
      </c>
      <c r="E20" s="489">
        <v>0</v>
      </c>
      <c r="F20" s="488" t="s">
        <v>214</v>
      </c>
      <c r="G20" s="488" t="s">
        <v>178</v>
      </c>
      <c r="H20" s="488" t="s">
        <v>90</v>
      </c>
      <c r="I20" s="488"/>
      <c r="J20" s="488" t="s">
        <v>224</v>
      </c>
      <c r="K20" s="488" t="s">
        <v>70</v>
      </c>
      <c r="L20" s="488" t="s">
        <v>252</v>
      </c>
      <c r="M20" s="488" t="s">
        <v>224</v>
      </c>
      <c r="N20" s="487">
        <v>0</v>
      </c>
      <c r="O20" s="489" t="s">
        <v>314</v>
      </c>
      <c r="P20" s="488" t="s">
        <v>72</v>
      </c>
      <c r="Q20" s="488" t="s">
        <v>410</v>
      </c>
      <c r="R20" s="488" t="s">
        <v>90</v>
      </c>
      <c r="S20" s="490"/>
    </row>
    <row r="21" spans="1:21" s="361" customFormat="1" ht="30" customHeight="1" thickBot="1" x14ac:dyDescent="0.35">
      <c r="A21" s="364" t="s">
        <v>81</v>
      </c>
      <c r="B21" s="668">
        <v>0</v>
      </c>
      <c r="C21" s="648">
        <v>100000000</v>
      </c>
      <c r="D21" s="648">
        <v>50000000</v>
      </c>
      <c r="E21" s="648">
        <v>0</v>
      </c>
      <c r="F21" s="647">
        <v>50000000</v>
      </c>
      <c r="G21" s="647">
        <f>250000000</f>
        <v>250000000</v>
      </c>
      <c r="H21" s="647">
        <v>100000000</v>
      </c>
      <c r="I21" s="647">
        <v>0</v>
      </c>
      <c r="J21" s="647">
        <v>100000000</v>
      </c>
      <c r="K21" s="647">
        <v>100000000</v>
      </c>
      <c r="L21" s="647">
        <v>50000000</v>
      </c>
      <c r="M21" s="647">
        <v>100000000</v>
      </c>
      <c r="N21" s="648">
        <v>0</v>
      </c>
      <c r="O21" s="648">
        <v>180000000</v>
      </c>
      <c r="P21" s="647">
        <v>400000000</v>
      </c>
      <c r="Q21" s="647">
        <v>100000000</v>
      </c>
      <c r="R21" s="647">
        <v>75000000</v>
      </c>
      <c r="S21" s="666">
        <f>SUM(B21:R21)</f>
        <v>1655000000</v>
      </c>
      <c r="T21" s="672"/>
    </row>
    <row r="22" spans="1:21" s="361" customFormat="1" ht="30" customHeight="1" x14ac:dyDescent="0.3">
      <c r="A22" s="365" t="s">
        <v>82</v>
      </c>
      <c r="B22" s="667">
        <v>0</v>
      </c>
      <c r="C22" s="767">
        <f>'ALFALAH-RF '!B37</f>
        <v>72797643.549999997</v>
      </c>
      <c r="D22" s="667">
        <v>0</v>
      </c>
      <c r="E22" s="667">
        <v>0</v>
      </c>
      <c r="F22" s="767">
        <f>'BIPL - RF'!B9</f>
        <v>0</v>
      </c>
      <c r="G22" s="767">
        <f>'BOP-RF'!B11+30000000</f>
      </c>
      <c r="H22" s="767">
        <f>'BOK RF'!B21</f>
        <v>99000000</v>
      </c>
      <c r="I22" s="667">
        <v>0</v>
      </c>
      <c r="J22" s="767">
        <f>'HBL-RF'!B11</f>
      </c>
      <c r="K22" s="767">
        <f>'HABIBMETROPOLITAN-RF'!B11</f>
      </c>
      <c r="L22" s="767">
        <f>'JS-RF'!B36</f>
        <v>0</v>
      </c>
      <c r="M22" s="767">
        <f>'MCB-RF'!B11</f>
      </c>
      <c r="N22" s="667">
        <v>0</v>
      </c>
      <c r="O22" s="767">
        <f>'NBP - RF'!B36</f>
        <v>180000000</v>
      </c>
      <c r="P22" s="767">
        <f>'PBICL-RF -I (2)'!B36+'PBICL-RF -II (2)'!B36</f>
        <v>400000000</v>
      </c>
      <c r="Q22" s="871">
        <f>'SAMBA-RF'!B36</f>
        <v>100000000</v>
      </c>
      <c r="R22" s="852">
        <f>'SONERI-RF '!B11</f>
      </c>
      <c r="S22" s="799">
        <f>SUM(B22:R22)</f>
        <v>893515672.42999995</v>
      </c>
      <c r="T22" s="672"/>
    </row>
    <row r="23" spans="1:21" s="361" customFormat="1" ht="30" customHeight="1" x14ac:dyDescent="0.3">
      <c r="A23" s="370" t="s">
        <v>219</v>
      </c>
      <c r="B23" s="654">
        <v>0</v>
      </c>
      <c r="C23" s="1022">
        <v>98836470.45</v>
      </c>
      <c r="D23" s="815"/>
      <c r="E23" s="815">
        <v>0</v>
      </c>
      <c r="F23" s="815">
        <v>0</v>
      </c>
      <c r="G23" s="815">
        <v>11776877.689999999</v>
      </c>
      <c r="H23" s="815"/>
      <c r="I23" s="654">
        <v>0</v>
      </c>
      <c r="J23" s="815">
        <v>0</v>
      </c>
      <c r="K23" s="767">
        <v>8599380.1899999995</v>
      </c>
      <c r="L23" s="815">
        <v>0</v>
      </c>
      <c r="M23" s="815">
        <v>0</v>
      </c>
      <c r="N23" s="706">
        <v>294091158.89999998</v>
      </c>
      <c r="O23" s="667">
        <v>0</v>
      </c>
      <c r="P23" s="670">
        <v>0</v>
      </c>
      <c r="Q23" s="670">
        <v>0</v>
      </c>
      <c r="R23" s="667">
        <v>0</v>
      </c>
      <c r="S23" s="816">
        <f>SUM(B23:R23)</f>
        <v>314467416.77999997</v>
      </c>
      <c r="T23" s="672"/>
      <c r="U23" s="372"/>
    </row>
    <row r="24" spans="1:21" s="361" customFormat="1" ht="30" customHeight="1" thickBot="1" x14ac:dyDescent="0.35">
      <c r="A24" s="386" t="s">
        <v>83</v>
      </c>
      <c r="B24" s="664">
        <f>SUM(B21+B23-B22)</f>
        <v>0</v>
      </c>
      <c r="C24" s="664">
        <f>SUM(C21+C23-C22)</f>
        <v>27202356.450000003</v>
      </c>
      <c r="D24" s="664">
        <f>SUM(D21+D23-D22)</f>
        <v>50000000</v>
      </c>
      <c r="E24" s="664">
        <v>0</v>
      </c>
      <c r="F24" s="664">
        <f>SUM(F21+F23-F22)</f>
        <v>50000000</v>
      </c>
      <c r="G24" s="664">
        <f>SUM(G21-G22+G23)</f>
        <v>231776877.69</v>
      </c>
      <c r="H24" s="664">
        <f>SUM(H21-H22+H23)</f>
        <v>1000000</v>
      </c>
      <c r="I24" s="664">
        <f>SUM(I21+I23-I22)</f>
        <v>0</v>
      </c>
      <c r="J24" s="664">
        <f>SUM(J21+-J22+J23)</f>
        <v>98993463.159999996</v>
      </c>
      <c r="K24" s="664">
        <f>SUM(K21+K23-K22)</f>
        <v>108599380.19</v>
      </c>
      <c r="L24" s="664">
        <f>SUM(L21+L23-L22)-L10</f>
        <v>24760400</v>
      </c>
      <c r="M24" s="664">
        <f t="shared" ref="M24:R24" si="2">SUM(M21+M23-M22)</f>
        <v>93305154.349999994</v>
      </c>
      <c r="N24" s="664">
        <f t="shared" si="2"/>
        <v>294091158.89999998</v>
      </c>
      <c r="O24" s="664">
        <f t="shared" si="2"/>
        <v>0</v>
      </c>
      <c r="P24" s="664">
        <f t="shared" si="2"/>
        <v>0</v>
      </c>
      <c r="Q24" s="664">
        <f t="shared" si="2"/>
        <v>0</v>
      </c>
      <c r="R24" s="664">
        <f t="shared" si="2"/>
        <v>70983353.609999999</v>
      </c>
      <c r="S24" s="665">
        <f>SUM(C24:R24)</f>
        <v>1050712144.35</v>
      </c>
      <c r="T24" s="672"/>
    </row>
    <row r="25" spans="1:21" s="350" customFormat="1" ht="17.399999999999999" thickTop="1" x14ac:dyDescent="0.3">
      <c r="B25" s="703"/>
      <c r="C25" s="703"/>
      <c r="D25" s="704"/>
      <c r="E25" s="704"/>
      <c r="F25" s="704"/>
      <c r="G25" s="705"/>
      <c r="H25" s="705"/>
      <c r="I25" s="703"/>
      <c r="J25" s="705"/>
      <c r="K25" s="704"/>
      <c r="L25" s="703"/>
      <c r="M25" s="705"/>
      <c r="N25" s="873">
        <v>153877474.90000001</v>
      </c>
      <c r="O25" s="703"/>
      <c r="P25" s="704"/>
      <c r="Q25" s="704"/>
      <c r="R25" s="704"/>
    </row>
    <row r="26" spans="1:21" ht="15.6" x14ac:dyDescent="0.3">
      <c r="B26" s="222"/>
      <c r="C26" s="242"/>
      <c r="D26" s="222"/>
      <c r="E26" s="222"/>
      <c r="F26" s="222"/>
      <c r="G26" s="360"/>
      <c r="H26" s="360"/>
      <c r="I26" s="222"/>
      <c r="J26" s="360"/>
      <c r="K26" s="222"/>
      <c r="L26" s="222"/>
      <c r="M26" s="769"/>
      <c r="N26" s="222"/>
      <c r="O26" s="243"/>
      <c r="P26" s="222"/>
      <c r="Q26" s="222"/>
      <c r="R26" s="222"/>
    </row>
    <row r="27" spans="1:21" ht="15.6" x14ac:dyDescent="0.3">
      <c r="B27" s="222"/>
      <c r="C27" s="222"/>
      <c r="D27" s="222"/>
      <c r="E27" s="222"/>
      <c r="F27" s="222"/>
      <c r="G27" s="768"/>
      <c r="H27" s="360"/>
      <c r="I27" s="222"/>
      <c r="J27" s="360"/>
      <c r="K27" s="222"/>
      <c r="L27" s="222"/>
      <c r="M27" s="222"/>
      <c r="N27" s="222"/>
      <c r="O27" s="243"/>
      <c r="P27" s="222"/>
      <c r="Q27" s="222"/>
      <c r="R27" s="222"/>
    </row>
    <row r="28" spans="1:21" ht="15.6" x14ac:dyDescent="0.3">
      <c r="B28" s="222"/>
      <c r="C28" s="222"/>
      <c r="D28" s="222"/>
      <c r="E28" s="222"/>
      <c r="F28" s="222"/>
      <c r="G28" s="360"/>
      <c r="H28" s="360"/>
      <c r="I28" s="222"/>
      <c r="J28" s="222"/>
      <c r="K28" s="222"/>
      <c r="L28" s="222"/>
      <c r="M28" s="222"/>
      <c r="N28" s="222"/>
      <c r="O28" s="243"/>
      <c r="P28" s="222"/>
      <c r="Q28" s="222"/>
      <c r="R28" s="222"/>
    </row>
    <row r="29" spans="1:21" ht="15.6" x14ac:dyDescent="0.3">
      <c r="B29" s="222"/>
      <c r="C29" s="222"/>
      <c r="D29" s="222"/>
      <c r="E29" s="222"/>
      <c r="F29" s="222"/>
      <c r="G29" s="360"/>
      <c r="H29" s="360"/>
      <c r="I29" s="222"/>
      <c r="J29" s="222"/>
      <c r="K29" s="222"/>
      <c r="L29" s="222"/>
      <c r="M29" s="222"/>
      <c r="N29" s="222"/>
      <c r="O29" s="243"/>
      <c r="P29" s="222"/>
      <c r="Q29" s="222"/>
      <c r="R29" s="222"/>
    </row>
    <row r="30" spans="1:21" ht="15.6" x14ac:dyDescent="0.3">
      <c r="B30" s="222"/>
      <c r="C30" s="222"/>
      <c r="D30" s="222"/>
      <c r="E30" s="222"/>
      <c r="F30" s="222"/>
      <c r="G30" s="360"/>
      <c r="H30" s="360"/>
      <c r="I30" s="222"/>
      <c r="J30" s="222"/>
      <c r="K30" s="222"/>
      <c r="L30" s="222"/>
      <c r="M30" s="222"/>
      <c r="N30" s="222"/>
      <c r="O30" s="243"/>
      <c r="P30" s="222"/>
      <c r="Q30" s="222"/>
      <c r="R30" s="222"/>
    </row>
    <row r="31" spans="1:21" ht="15.6" x14ac:dyDescent="0.3">
      <c r="B31" s="222"/>
      <c r="C31" s="243"/>
      <c r="D31" s="243"/>
      <c r="E31" s="243"/>
      <c r="F31" s="222"/>
      <c r="G31" s="222"/>
      <c r="H31" s="222"/>
      <c r="I31" s="222"/>
      <c r="J31" s="222"/>
      <c r="K31" s="222"/>
      <c r="L31" s="222"/>
      <c r="M31" s="222"/>
      <c r="N31" s="222"/>
      <c r="O31" s="243"/>
      <c r="P31" s="222"/>
      <c r="Q31" s="222"/>
      <c r="R31" s="222"/>
    </row>
    <row r="32" spans="1:21" ht="15.6" x14ac:dyDescent="0.3"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43"/>
      <c r="P32" s="222"/>
      <c r="Q32" s="222"/>
      <c r="R32" s="222"/>
    </row>
    <row r="33" spans="2:18" ht="15.6" x14ac:dyDescent="0.3"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43"/>
      <c r="P33" s="222"/>
      <c r="Q33" s="222"/>
      <c r="R33" s="222"/>
    </row>
    <row r="34" spans="2:18" ht="15.6" x14ac:dyDescent="0.3"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43"/>
      <c r="P34" s="222"/>
      <c r="Q34" s="222"/>
      <c r="R34" s="222"/>
    </row>
    <row r="35" spans="2:18" ht="15.6" x14ac:dyDescent="0.3"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43"/>
      <c r="P35" s="222"/>
      <c r="Q35" s="222"/>
      <c r="R35" s="222"/>
    </row>
    <row r="36" spans="2:18" ht="15.6" x14ac:dyDescent="0.3"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43"/>
      <c r="P36" s="222"/>
      <c r="Q36" s="222"/>
      <c r="R36" s="222"/>
    </row>
    <row r="37" spans="2:18" ht="15.6" x14ac:dyDescent="0.3"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43"/>
      <c r="P37" s="222"/>
      <c r="Q37" s="222"/>
      <c r="R37" s="222"/>
    </row>
    <row r="38" spans="2:18" ht="15.6" x14ac:dyDescent="0.3"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43"/>
      <c r="P38" s="222"/>
      <c r="Q38" s="222"/>
      <c r="R38" s="222"/>
    </row>
    <row r="39" spans="2:18" ht="15.6" x14ac:dyDescent="0.3"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43"/>
      <c r="P39" s="222"/>
      <c r="Q39" s="222"/>
      <c r="R39" s="222"/>
    </row>
    <row r="40" spans="2:18" ht="15.6" x14ac:dyDescent="0.3"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43"/>
      <c r="P40" s="222"/>
      <c r="Q40" s="222"/>
      <c r="R40" s="222"/>
    </row>
    <row r="41" spans="2:18" ht="15.6" x14ac:dyDescent="0.3"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43"/>
      <c r="P41" s="222"/>
      <c r="Q41" s="222"/>
      <c r="R41" s="222"/>
    </row>
    <row r="42" spans="2:18" ht="15.6" x14ac:dyDescent="0.3"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43"/>
      <c r="P42" s="222"/>
      <c r="Q42" s="222"/>
      <c r="R42" s="222"/>
    </row>
    <row r="43" spans="2:18" ht="15.6" x14ac:dyDescent="0.3"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43"/>
      <c r="P43" s="222"/>
      <c r="Q43" s="222"/>
      <c r="R43" s="222"/>
    </row>
    <row r="44" spans="2:18" ht="15.6" x14ac:dyDescent="0.3"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43"/>
      <c r="P44" s="222"/>
      <c r="Q44" s="222"/>
      <c r="R44" s="222"/>
    </row>
    <row r="45" spans="2:18" ht="15.6" x14ac:dyDescent="0.3"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43"/>
      <c r="P45" s="222"/>
      <c r="Q45" s="222"/>
      <c r="R45" s="222"/>
    </row>
    <row r="46" spans="2:18" ht="15.6" x14ac:dyDescent="0.3"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43"/>
      <c r="P46" s="222"/>
      <c r="Q46" s="222"/>
      <c r="R46" s="222"/>
    </row>
    <row r="47" spans="2:18" ht="15.6" x14ac:dyDescent="0.3"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43"/>
      <c r="P47" s="222"/>
      <c r="Q47" s="222"/>
      <c r="R47" s="222"/>
    </row>
    <row r="48" spans="2:18" ht="15.6" x14ac:dyDescent="0.3"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43"/>
      <c r="P48" s="222"/>
      <c r="Q48" s="222"/>
      <c r="R48" s="222"/>
    </row>
    <row r="49" spans="2:18" ht="15.6" x14ac:dyDescent="0.3"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43"/>
      <c r="P49" s="222"/>
      <c r="Q49" s="222"/>
      <c r="R49" s="222"/>
    </row>
    <row r="50" spans="2:18" ht="15.6" x14ac:dyDescent="0.3"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43"/>
      <c r="P50" s="222"/>
      <c r="Q50" s="222"/>
      <c r="R50" s="222"/>
    </row>
    <row r="51" spans="2:18" ht="15.6" x14ac:dyDescent="0.3"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43"/>
      <c r="P51" s="222"/>
      <c r="Q51" s="222"/>
      <c r="R51" s="222"/>
    </row>
    <row r="52" spans="2:18" ht="15.6" x14ac:dyDescent="0.3"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43"/>
      <c r="P52" s="222"/>
      <c r="Q52" s="222"/>
      <c r="R52" s="222"/>
    </row>
    <row r="53" spans="2:18" ht="15.6" x14ac:dyDescent="0.3"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43"/>
      <c r="P53" s="222"/>
      <c r="Q53" s="222"/>
      <c r="R53" s="222"/>
    </row>
    <row r="54" spans="2:18" ht="15.6" x14ac:dyDescent="0.3"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43"/>
      <c r="P54" s="222"/>
      <c r="Q54" s="222"/>
      <c r="R54" s="222"/>
    </row>
    <row r="55" spans="2:18" ht="15.6" x14ac:dyDescent="0.3"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43"/>
      <c r="P55" s="222"/>
      <c r="Q55" s="222"/>
      <c r="R55" s="222"/>
    </row>
    <row r="56" spans="2:18" ht="15.6" x14ac:dyDescent="0.3"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43"/>
      <c r="P56" s="222"/>
      <c r="Q56" s="222"/>
      <c r="R56" s="222"/>
    </row>
    <row r="57" spans="2:18" ht="15.6" x14ac:dyDescent="0.3"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43"/>
      <c r="P57" s="222"/>
      <c r="Q57" s="222"/>
      <c r="R57" s="222"/>
    </row>
    <row r="58" spans="2:18" ht="15.6" x14ac:dyDescent="0.3"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43"/>
      <c r="P58" s="222"/>
      <c r="Q58" s="222"/>
      <c r="R58" s="222"/>
    </row>
    <row r="59" spans="2:18" ht="15.6" x14ac:dyDescent="0.3"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43"/>
      <c r="P59" s="222"/>
      <c r="Q59" s="222"/>
      <c r="R59" s="222"/>
    </row>
    <row r="60" spans="2:18" ht="15.6" x14ac:dyDescent="0.3"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43"/>
      <c r="P60" s="222"/>
      <c r="Q60" s="222"/>
      <c r="R60" s="222"/>
    </row>
    <row r="61" spans="2:18" ht="15.6" x14ac:dyDescent="0.3"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43"/>
      <c r="P61" s="222"/>
      <c r="Q61" s="222"/>
      <c r="R61" s="222"/>
    </row>
    <row r="62" spans="2:18" ht="15.6" x14ac:dyDescent="0.3"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43"/>
      <c r="P62" s="222"/>
      <c r="Q62" s="222"/>
      <c r="R62" s="222"/>
    </row>
    <row r="63" spans="2:18" ht="15.6" x14ac:dyDescent="0.3"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43"/>
      <c r="P63" s="222"/>
      <c r="Q63" s="222"/>
      <c r="R63" s="222"/>
    </row>
    <row r="64" spans="2:18" ht="15.6" x14ac:dyDescent="0.3"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43"/>
      <c r="P64" s="222"/>
      <c r="Q64" s="222"/>
      <c r="R64" s="222"/>
    </row>
    <row r="65" spans="2:18" ht="15.6" x14ac:dyDescent="0.3"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43"/>
      <c r="P65" s="222"/>
      <c r="Q65" s="222"/>
      <c r="R65" s="222"/>
    </row>
    <row r="66" spans="2:18" ht="15.6" x14ac:dyDescent="0.3"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43"/>
      <c r="P66" s="222"/>
      <c r="Q66" s="222"/>
      <c r="R66" s="222"/>
    </row>
    <row r="67" spans="2:18" ht="15.6" x14ac:dyDescent="0.3"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43"/>
      <c r="P67" s="222"/>
      <c r="Q67" s="222"/>
      <c r="R67" s="222"/>
    </row>
    <row r="68" spans="2:18" ht="15.6" x14ac:dyDescent="0.3"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43"/>
      <c r="P68" s="222"/>
      <c r="Q68" s="222"/>
      <c r="R68" s="222"/>
    </row>
    <row r="69" spans="2:18" ht="15.6" x14ac:dyDescent="0.3"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43"/>
      <c r="P69" s="222"/>
      <c r="Q69" s="222"/>
      <c r="R69" s="222"/>
    </row>
    <row r="70" spans="2:18" ht="15.6" x14ac:dyDescent="0.3"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43"/>
      <c r="P70" s="222"/>
      <c r="Q70" s="222"/>
      <c r="R70" s="222"/>
    </row>
    <row r="71" spans="2:18" ht="15.6" x14ac:dyDescent="0.3"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43"/>
      <c r="P71" s="222"/>
      <c r="Q71" s="222"/>
      <c r="R71" s="222"/>
    </row>
    <row r="72" spans="2:18" ht="15.6" x14ac:dyDescent="0.3"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43"/>
      <c r="P72" s="222"/>
      <c r="Q72" s="222"/>
      <c r="R72" s="222"/>
    </row>
    <row r="73" spans="2:18" ht="15.6" x14ac:dyDescent="0.3"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43"/>
      <c r="P73" s="222"/>
      <c r="Q73" s="222"/>
      <c r="R73" s="222"/>
    </row>
    <row r="74" spans="2:18" ht="15.6" x14ac:dyDescent="0.3"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43"/>
      <c r="P74" s="222"/>
      <c r="Q74" s="222"/>
      <c r="R74" s="222"/>
    </row>
    <row r="75" spans="2:18" ht="15.6" x14ac:dyDescent="0.3"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43"/>
      <c r="P75" s="222"/>
      <c r="Q75" s="222"/>
      <c r="R75" s="222"/>
    </row>
    <row r="76" spans="2:18" ht="15.6" x14ac:dyDescent="0.3"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43"/>
      <c r="P76" s="222"/>
      <c r="Q76" s="222"/>
      <c r="R76" s="222"/>
    </row>
    <row r="77" spans="2:18" ht="15.6" x14ac:dyDescent="0.3"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43"/>
      <c r="P77" s="222"/>
      <c r="Q77" s="222"/>
      <c r="R77" s="222"/>
    </row>
    <row r="78" spans="2:18" ht="15.6" x14ac:dyDescent="0.3"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43"/>
      <c r="P78" s="222"/>
      <c r="Q78" s="222"/>
      <c r="R78" s="222"/>
    </row>
    <row r="79" spans="2:18" ht="15.6" x14ac:dyDescent="0.3"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43"/>
      <c r="P79" s="222"/>
      <c r="Q79" s="222"/>
      <c r="R79" s="222"/>
    </row>
    <row r="80" spans="2:18" ht="15.6" x14ac:dyDescent="0.3"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43"/>
      <c r="P80" s="222"/>
      <c r="Q80" s="222"/>
      <c r="R80" s="222"/>
    </row>
    <row r="81" spans="2:18" ht="15.6" x14ac:dyDescent="0.3"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43"/>
      <c r="P81" s="222"/>
      <c r="Q81" s="222"/>
      <c r="R81" s="222"/>
    </row>
    <row r="82" spans="2:18" ht="15.6" x14ac:dyDescent="0.3">
      <c r="B82" s="105"/>
      <c r="I82" s="105"/>
    </row>
    <row r="83" spans="2:18" ht="15.6" x14ac:dyDescent="0.3">
      <c r="B83" s="105"/>
      <c r="I83" s="105"/>
    </row>
    <row r="84" spans="2:18" ht="15.6" x14ac:dyDescent="0.3">
      <c r="B84" s="105"/>
      <c r="I84" s="105"/>
    </row>
  </sheetData>
  <mergeCells count="8">
    <mergeCell ref="A13:S13"/>
    <mergeCell ref="A19:S19"/>
    <mergeCell ref="A1:S1"/>
    <mergeCell ref="A2:S2"/>
    <mergeCell ref="A3:S3"/>
    <mergeCell ref="A4:S4"/>
    <mergeCell ref="A5:S5"/>
    <mergeCell ref="A7:S7"/>
  </mergeCells>
  <printOptions horizontalCentered="1" verticalCentered="1"/>
  <pageMargins left="0.51181102362204722" right="0" top="0.74803149606299213" bottom="0.74803149606299213" header="0.31496062992125984" footer="0.31496062992125984"/>
  <pageSetup paperSize="9" scale="3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7B0D-1F8C-47E8-8951-F4659CA65631}">
  <sheetPr>
    <pageSetUpPr fitToPage="1"/>
  </sheetPr>
  <dimension ref="A1:H91"/>
  <sheetViews>
    <sheetView showGridLines="0" topLeftCell="A66" zoomScaleNormal="100" zoomScaleSheetLayoutView="100" workbookViewId="0">
      <selection activeCell="B75" sqref="B75"/>
    </sheetView>
  </sheetViews>
  <sheetFormatPr defaultColWidth="10.6328125" defaultRowHeight="13.8" x14ac:dyDescent="0.3"/>
  <cols>
    <col min="1" max="1" width="16.7265625" style="3" customWidth="1"/>
    <col min="2" max="2" width="11.90625" style="3" customWidth="1"/>
    <col min="3" max="3" width="11.90625" style="3" bestFit="1" customWidth="1"/>
    <col min="4" max="4" width="12.81640625" style="3" bestFit="1" customWidth="1"/>
    <col min="5" max="5" width="11.81640625" style="3" bestFit="1" customWidth="1"/>
    <col min="6" max="6" width="10.1796875" style="3" bestFit="1" customWidth="1"/>
    <col min="7" max="7" width="6.6328125" style="3" bestFit="1" customWidth="1"/>
    <col min="8" max="16384" width="10.6328125" style="3"/>
  </cols>
  <sheetData>
    <row r="1" spans="1:7" ht="18" x14ac:dyDescent="0.35">
      <c r="A1" s="941" t="s">
        <v>35</v>
      </c>
      <c r="B1" s="941"/>
      <c r="C1" s="941"/>
    </row>
    <row r="2" spans="1:7" ht="18.600000000000001" thickBot="1" x14ac:dyDescent="0.4">
      <c r="A2" s="47" t="s">
        <v>51</v>
      </c>
      <c r="B2" s="47"/>
      <c r="C2" s="27">
        <f>'FINANCIAL COST SUMMARY'!K2</f>
        <v>46204</v>
      </c>
    </row>
    <row r="3" spans="1:7" x14ac:dyDescent="0.3">
      <c r="A3" s="942"/>
      <c r="B3" s="942"/>
      <c r="C3" s="942"/>
    </row>
    <row r="4" spans="1:7" x14ac:dyDescent="0.3">
      <c r="A4" s="943" t="s">
        <v>406</v>
      </c>
      <c r="B4" s="943"/>
      <c r="C4" s="943"/>
    </row>
    <row r="5" spans="1:7" s="45" customFormat="1" ht="41.4" x14ac:dyDescent="0.3">
      <c r="A5" s="95" t="s">
        <v>2</v>
      </c>
      <c r="B5" s="333" t="s">
        <v>407</v>
      </c>
      <c r="C5" s="46" t="s">
        <v>0</v>
      </c>
      <c r="E5" s="60">
        <v>46183</v>
      </c>
      <c r="F5" s="45">
        <v>180</v>
      </c>
      <c r="G5" s="60">
        <f>E5+F5</f>
        <v>46363</v>
      </c>
    </row>
    <row r="6" spans="1:7" x14ac:dyDescent="0.3">
      <c r="A6" s="6">
        <v>46204</v>
      </c>
      <c r="B6" s="103">
        <v>200000000</v>
      </c>
      <c r="C6" s="35">
        <f t="shared" ref="C6:C36" si="0">SUM(B6:B6)</f>
        <v>200000000</v>
      </c>
      <c r="D6" s="31"/>
      <c r="E6" s="76"/>
      <c r="F6" s="76"/>
    </row>
    <row r="7" spans="1:7" x14ac:dyDescent="0.3">
      <c r="A7" s="6">
        <f>+A6+1</f>
        <v>46205</v>
      </c>
      <c r="B7" s="103">
        <v>200000000</v>
      </c>
      <c r="C7" s="35">
        <f t="shared" si="0"/>
        <v>200000000</v>
      </c>
      <c r="D7" s="2"/>
      <c r="E7" s="2"/>
      <c r="F7" s="2"/>
    </row>
    <row r="8" spans="1:7" x14ac:dyDescent="0.3">
      <c r="A8" s="6">
        <f t="shared" ref="A8:A36" si="1">+A7+1</f>
        <v>46206</v>
      </c>
      <c r="B8" s="103">
        <v>200000000</v>
      </c>
      <c r="C8" s="35">
        <f t="shared" si="0"/>
        <v>200000000</v>
      </c>
      <c r="D8" s="2"/>
      <c r="E8" s="2"/>
      <c r="F8" s="2"/>
    </row>
    <row r="9" spans="1:7" x14ac:dyDescent="0.3">
      <c r="A9" s="6">
        <f t="shared" si="1"/>
        <v>46207</v>
      </c>
      <c r="B9" s="103">
        <v>200000000</v>
      </c>
      <c r="C9" s="35">
        <f t="shared" si="0"/>
        <v>200000000</v>
      </c>
      <c r="D9" s="2"/>
      <c r="E9" s="849"/>
      <c r="F9" s="2"/>
    </row>
    <row r="10" spans="1:7" x14ac:dyDescent="0.3">
      <c r="A10" s="6">
        <f t="shared" si="1"/>
        <v>46208</v>
      </c>
      <c r="B10" s="103">
        <v>200000000</v>
      </c>
      <c r="C10" s="35">
        <f t="shared" si="0"/>
        <v>200000000</v>
      </c>
      <c r="D10" s="2"/>
      <c r="E10" s="2"/>
      <c r="F10" s="2"/>
    </row>
    <row r="11" spans="1:7" x14ac:dyDescent="0.3">
      <c r="A11" s="6">
        <f t="shared" si="1"/>
        <v>46209</v>
      </c>
      <c r="B11" s="103">
        <v>200000000</v>
      </c>
      <c r="C11" s="35">
        <f t="shared" si="0"/>
        <v>200000000</v>
      </c>
      <c r="D11" s="2"/>
      <c r="E11" s="2"/>
      <c r="F11" s="2"/>
    </row>
    <row r="12" spans="1:7" x14ac:dyDescent="0.3">
      <c r="A12" s="6">
        <f t="shared" si="1"/>
        <v>46210</v>
      </c>
      <c r="B12" s="103">
        <v>200000000</v>
      </c>
      <c r="C12" s="35">
        <f t="shared" si="0"/>
        <v>200000000</v>
      </c>
      <c r="D12" s="2"/>
      <c r="E12" s="2"/>
      <c r="F12" s="2"/>
    </row>
    <row r="13" spans="1:7" x14ac:dyDescent="0.3">
      <c r="A13" s="6">
        <f t="shared" si="1"/>
        <v>46211</v>
      </c>
      <c r="B13" s="103">
        <v>200000000</v>
      </c>
      <c r="C13" s="35">
        <f t="shared" si="0"/>
        <v>200000000</v>
      </c>
      <c r="D13" s="2"/>
      <c r="E13" s="2"/>
      <c r="F13" s="2"/>
    </row>
    <row r="14" spans="1:7" x14ac:dyDescent="0.3">
      <c r="A14" s="315">
        <f t="shared" si="1"/>
        <v>46212</v>
      </c>
      <c r="B14" s="103">
        <v>200000000</v>
      </c>
      <c r="C14" s="35">
        <f t="shared" si="0"/>
        <v>200000000</v>
      </c>
      <c r="D14" s="2"/>
      <c r="E14" s="2"/>
      <c r="F14" s="2"/>
    </row>
    <row r="15" spans="1:7" x14ac:dyDescent="0.3">
      <c r="A15" s="315">
        <f t="shared" si="1"/>
        <v>46213</v>
      </c>
      <c r="B15" s="103">
        <v>200000000</v>
      </c>
      <c r="C15" s="35">
        <f t="shared" si="0"/>
        <v>200000000</v>
      </c>
      <c r="D15" s="2"/>
      <c r="E15" s="2"/>
      <c r="F15" s="2"/>
    </row>
    <row r="16" spans="1:7" x14ac:dyDescent="0.3">
      <c r="A16" s="315">
        <f t="shared" si="1"/>
        <v>46214</v>
      </c>
      <c r="B16" s="103">
        <v>200000000</v>
      </c>
      <c r="C16" s="35">
        <f t="shared" si="0"/>
        <v>200000000</v>
      </c>
      <c r="E16" s="325"/>
    </row>
    <row r="17" spans="1:5" x14ac:dyDescent="0.3">
      <c r="A17" s="315">
        <f t="shared" si="1"/>
        <v>46215</v>
      </c>
      <c r="B17" s="103">
        <v>200000000</v>
      </c>
      <c r="C17" s="35">
        <f t="shared" si="0"/>
        <v>200000000</v>
      </c>
      <c r="E17" s="325"/>
    </row>
    <row r="18" spans="1:5" x14ac:dyDescent="0.3">
      <c r="A18" s="315">
        <f t="shared" si="1"/>
        <v>46216</v>
      </c>
      <c r="B18" s="103">
        <v>200000000</v>
      </c>
      <c r="C18" s="35">
        <f t="shared" si="0"/>
        <v>200000000</v>
      </c>
      <c r="D18" s="34"/>
    </row>
    <row r="19" spans="1:5" x14ac:dyDescent="0.3">
      <c r="A19" s="315">
        <f t="shared" si="1"/>
        <v>46217</v>
      </c>
      <c r="B19" s="103">
        <v>200000000</v>
      </c>
      <c r="C19" s="35">
        <f t="shared" si="0"/>
        <v>200000000</v>
      </c>
      <c r="E19" s="2"/>
    </row>
    <row r="20" spans="1:5" x14ac:dyDescent="0.3">
      <c r="A20" s="315">
        <f t="shared" si="1"/>
        <v>46218</v>
      </c>
      <c r="B20" s="103">
        <v>200000000</v>
      </c>
      <c r="C20" s="35">
        <f t="shared" si="0"/>
        <v>200000000</v>
      </c>
    </row>
    <row r="21" spans="1:5" x14ac:dyDescent="0.3">
      <c r="A21" s="315">
        <f t="shared" si="1"/>
        <v>46219</v>
      </c>
      <c r="B21" s="103">
        <v>200000000</v>
      </c>
      <c r="C21" s="35">
        <f t="shared" si="0"/>
        <v>200000000</v>
      </c>
    </row>
    <row r="22" spans="1:5" x14ac:dyDescent="0.3">
      <c r="A22" s="6">
        <f t="shared" si="1"/>
        <v>46220</v>
      </c>
      <c r="B22" s="103">
        <v>200000000</v>
      </c>
      <c r="C22" s="35">
        <f t="shared" si="0"/>
        <v>200000000</v>
      </c>
    </row>
    <row r="23" spans="1:5" x14ac:dyDescent="0.3">
      <c r="A23" s="6">
        <f t="shared" si="1"/>
        <v>46221</v>
      </c>
      <c r="B23" s="103">
        <v>200000000</v>
      </c>
      <c r="C23" s="35">
        <f t="shared" si="0"/>
        <v>200000000</v>
      </c>
    </row>
    <row r="24" spans="1:5" x14ac:dyDescent="0.3">
      <c r="A24" s="6">
        <f t="shared" si="1"/>
        <v>46222</v>
      </c>
      <c r="B24" s="103">
        <v>200000000</v>
      </c>
      <c r="C24" s="35">
        <f t="shared" si="0"/>
        <v>200000000</v>
      </c>
    </row>
    <row r="25" spans="1:5" x14ac:dyDescent="0.3">
      <c r="A25" s="6">
        <f t="shared" si="1"/>
        <v>46223</v>
      </c>
      <c r="B25" s="103">
        <v>200000000</v>
      </c>
      <c r="C25" s="35">
        <f t="shared" si="0"/>
        <v>200000000</v>
      </c>
    </row>
    <row r="26" spans="1:5" x14ac:dyDescent="0.3">
      <c r="A26" s="6">
        <f t="shared" si="1"/>
        <v>46224</v>
      </c>
      <c r="B26" s="103">
        <v>200000000</v>
      </c>
      <c r="C26" s="35">
        <f t="shared" si="0"/>
        <v>200000000</v>
      </c>
    </row>
    <row r="27" spans="1:5" x14ac:dyDescent="0.3">
      <c r="A27" s="6">
        <f t="shared" si="1"/>
        <v>46225</v>
      </c>
      <c r="B27" s="103">
        <v>200000000</v>
      </c>
      <c r="C27" s="35">
        <f t="shared" si="0"/>
        <v>200000000</v>
      </c>
    </row>
    <row r="28" spans="1:5" x14ac:dyDescent="0.3">
      <c r="A28" s="6">
        <f t="shared" si="1"/>
        <v>46226</v>
      </c>
      <c r="B28" s="103">
        <v>200000000</v>
      </c>
      <c r="C28" s="35">
        <f t="shared" si="0"/>
        <v>200000000</v>
      </c>
    </row>
    <row r="29" spans="1:5" x14ac:dyDescent="0.3">
      <c r="A29" s="6">
        <f t="shared" si="1"/>
        <v>46227</v>
      </c>
      <c r="B29" s="103">
        <v>200000000</v>
      </c>
      <c r="C29" s="35">
        <f t="shared" si="0"/>
        <v>200000000</v>
      </c>
    </row>
    <row r="30" spans="1:5" x14ac:dyDescent="0.3">
      <c r="A30" s="6">
        <f t="shared" si="1"/>
        <v>46228</v>
      </c>
      <c r="B30" s="103">
        <v>200000000</v>
      </c>
      <c r="C30" s="35">
        <f t="shared" si="0"/>
        <v>200000000</v>
      </c>
    </row>
    <row r="31" spans="1:5" x14ac:dyDescent="0.3">
      <c r="A31" s="6">
        <f t="shared" si="1"/>
        <v>46229</v>
      </c>
      <c r="B31" s="103">
        <v>200000000</v>
      </c>
      <c r="C31" s="35">
        <f t="shared" si="0"/>
        <v>200000000</v>
      </c>
    </row>
    <row r="32" spans="1:5" x14ac:dyDescent="0.3">
      <c r="A32" s="6">
        <f t="shared" si="1"/>
        <v>46230</v>
      </c>
      <c r="B32" s="103">
        <v>200000000</v>
      </c>
      <c r="C32" s="35">
        <f t="shared" si="0"/>
        <v>200000000</v>
      </c>
    </row>
    <row r="33" spans="1:3" x14ac:dyDescent="0.3">
      <c r="A33" s="6">
        <f t="shared" si="1"/>
        <v>46231</v>
      </c>
      <c r="B33" s="103">
        <v>200000000</v>
      </c>
      <c r="C33" s="35">
        <f t="shared" si="0"/>
        <v>200000000</v>
      </c>
    </row>
    <row r="34" spans="1:3" x14ac:dyDescent="0.3">
      <c r="A34" s="6">
        <f t="shared" si="1"/>
        <v>46232</v>
      </c>
      <c r="B34" s="103">
        <v>200000000</v>
      </c>
      <c r="C34" s="35">
        <f t="shared" si="0"/>
        <v>200000000</v>
      </c>
    </row>
    <row r="35" spans="1:3" x14ac:dyDescent="0.3">
      <c r="A35" s="6">
        <f t="shared" si="1"/>
        <v>46233</v>
      </c>
      <c r="B35" s="103">
        <v>200000000</v>
      </c>
      <c r="C35" s="35">
        <f t="shared" si="0"/>
        <v>200000000</v>
      </c>
    </row>
    <row r="36" spans="1:3" x14ac:dyDescent="0.3">
      <c r="A36" s="6">
        <f t="shared" si="1"/>
        <v>46234</v>
      </c>
      <c r="B36" s="103">
        <v>200000000</v>
      </c>
      <c r="C36" s="35">
        <f t="shared" si="0"/>
        <v>200000000</v>
      </c>
    </row>
    <row r="37" spans="1:3" x14ac:dyDescent="0.3">
      <c r="A37" s="943" t="s">
        <v>56</v>
      </c>
      <c r="B37" s="943"/>
      <c r="C37" s="943"/>
    </row>
    <row r="38" spans="1:3" s="45" customFormat="1" ht="41.4" x14ac:dyDescent="0.3">
      <c r="A38" s="51" t="s">
        <v>2</v>
      </c>
      <c r="B38" s="50" t="str">
        <f>B5</f>
        <v xml:space="preserve">
(C.D 10.06.2026, M.D 07.12.2026)</v>
      </c>
      <c r="C38" s="46" t="s">
        <v>0</v>
      </c>
    </row>
    <row r="39" spans="1:3" s="91" customFormat="1" ht="41.4" x14ac:dyDescent="0.25">
      <c r="A39" s="375" t="s">
        <v>277</v>
      </c>
      <c r="B39" s="402">
        <f>1%+12.04%</f>
        <v>0.13039999999999999</v>
      </c>
      <c r="C39" s="90"/>
    </row>
    <row r="40" spans="1:3" x14ac:dyDescent="0.3">
      <c r="A40" s="6">
        <f t="shared" ref="A40:A69" si="2">A6</f>
        <v>46204</v>
      </c>
      <c r="B40" s="5">
        <f t="shared" ref="B40:B70" si="3">IF(B6&lt;0,0,B6*B$39/365)</f>
        <v>71452.054794520533</v>
      </c>
      <c r="C40" s="5">
        <f t="shared" ref="C40:C71" si="4">SUM(B40:B40)</f>
        <v>71452.054794520533</v>
      </c>
    </row>
    <row r="41" spans="1:3" x14ac:dyDescent="0.3">
      <c r="A41" s="6">
        <f t="shared" si="2"/>
        <v>46205</v>
      </c>
      <c r="B41" s="5">
        <f t="shared" si="3"/>
        <v>71452.054794520533</v>
      </c>
      <c r="C41" s="5">
        <f t="shared" si="4"/>
        <v>71452.054794520533</v>
      </c>
    </row>
    <row r="42" spans="1:3" x14ac:dyDescent="0.3">
      <c r="A42" s="6">
        <f t="shared" si="2"/>
        <v>46206</v>
      </c>
      <c r="B42" s="5">
        <f t="shared" si="3"/>
        <v>71452.054794520533</v>
      </c>
      <c r="C42" s="5">
        <f t="shared" si="4"/>
        <v>71452.054794520533</v>
      </c>
    </row>
    <row r="43" spans="1:3" x14ac:dyDescent="0.3">
      <c r="A43" s="6">
        <f t="shared" si="2"/>
        <v>46207</v>
      </c>
      <c r="B43" s="5">
        <f t="shared" si="3"/>
        <v>71452.054794520533</v>
      </c>
      <c r="C43" s="5">
        <f t="shared" si="4"/>
        <v>71452.054794520533</v>
      </c>
    </row>
    <row r="44" spans="1:3" x14ac:dyDescent="0.3">
      <c r="A44" s="6">
        <f t="shared" si="2"/>
        <v>46208</v>
      </c>
      <c r="B44" s="5">
        <f t="shared" si="3"/>
        <v>71452.054794520533</v>
      </c>
      <c r="C44" s="5">
        <f t="shared" si="4"/>
        <v>71452.054794520533</v>
      </c>
    </row>
    <row r="45" spans="1:3" x14ac:dyDescent="0.3">
      <c r="A45" s="6">
        <f t="shared" si="2"/>
        <v>46209</v>
      </c>
      <c r="B45" s="5">
        <f t="shared" si="3"/>
        <v>71452.054794520533</v>
      </c>
      <c r="C45" s="5">
        <f t="shared" si="4"/>
        <v>71452.054794520533</v>
      </c>
    </row>
    <row r="46" spans="1:3" x14ac:dyDescent="0.3">
      <c r="A46" s="6">
        <f t="shared" si="2"/>
        <v>46210</v>
      </c>
      <c r="B46" s="5">
        <f t="shared" si="3"/>
        <v>71452.054794520533</v>
      </c>
      <c r="C46" s="5">
        <f t="shared" si="4"/>
        <v>71452.054794520533</v>
      </c>
    </row>
    <row r="47" spans="1:3" x14ac:dyDescent="0.3">
      <c r="A47" s="6">
        <f t="shared" si="2"/>
        <v>46211</v>
      </c>
      <c r="B47" s="5">
        <f t="shared" si="3"/>
        <v>71452.054794520533</v>
      </c>
      <c r="C47" s="5">
        <f t="shared" si="4"/>
        <v>71452.054794520533</v>
      </c>
    </row>
    <row r="48" spans="1:3" x14ac:dyDescent="0.3">
      <c r="A48" s="6">
        <f t="shared" si="2"/>
        <v>46212</v>
      </c>
      <c r="B48" s="5">
        <f t="shared" si="3"/>
        <v>71452.054794520533</v>
      </c>
      <c r="C48" s="5">
        <f t="shared" si="4"/>
        <v>71452.054794520533</v>
      </c>
    </row>
    <row r="49" spans="1:5" x14ac:dyDescent="0.3">
      <c r="A49" s="6">
        <f t="shared" si="2"/>
        <v>46213</v>
      </c>
      <c r="B49" s="5">
        <f t="shared" si="3"/>
        <v>71452.054794520533</v>
      </c>
      <c r="C49" s="5">
        <f t="shared" si="4"/>
        <v>71452.054794520533</v>
      </c>
    </row>
    <row r="50" spans="1:5" x14ac:dyDescent="0.3">
      <c r="A50" s="6">
        <f t="shared" si="2"/>
        <v>46214</v>
      </c>
      <c r="B50" s="5">
        <f t="shared" si="3"/>
        <v>71452.054794520533</v>
      </c>
      <c r="C50" s="5">
        <f t="shared" si="4"/>
        <v>71452.054794520533</v>
      </c>
    </row>
    <row r="51" spans="1:5" x14ac:dyDescent="0.3">
      <c r="A51" s="6">
        <f t="shared" si="2"/>
        <v>46215</v>
      </c>
      <c r="B51" s="5">
        <f t="shared" si="3"/>
        <v>71452.054794520533</v>
      </c>
      <c r="C51" s="5">
        <f t="shared" si="4"/>
        <v>71452.054794520533</v>
      </c>
    </row>
    <row r="52" spans="1:5" x14ac:dyDescent="0.3">
      <c r="A52" s="6">
        <f t="shared" si="2"/>
        <v>46216</v>
      </c>
      <c r="B52" s="5">
        <f t="shared" si="3"/>
        <v>71452.054794520533</v>
      </c>
      <c r="C52" s="5">
        <f t="shared" si="4"/>
        <v>71452.054794520533</v>
      </c>
    </row>
    <row r="53" spans="1:5" x14ac:dyDescent="0.3">
      <c r="A53" s="6">
        <f t="shared" si="2"/>
        <v>46217</v>
      </c>
      <c r="B53" s="5">
        <f t="shared" si="3"/>
        <v>71452.054794520533</v>
      </c>
      <c r="C53" s="5">
        <f t="shared" si="4"/>
        <v>71452.054794520533</v>
      </c>
      <c r="E53" s="34"/>
    </row>
    <row r="54" spans="1:5" x14ac:dyDescent="0.3">
      <c r="A54" s="6">
        <f t="shared" si="2"/>
        <v>46218</v>
      </c>
      <c r="B54" s="5">
        <f t="shared" si="3"/>
        <v>71452.054794520533</v>
      </c>
      <c r="C54" s="5">
        <f t="shared" si="4"/>
        <v>71452.054794520533</v>
      </c>
    </row>
    <row r="55" spans="1:5" x14ac:dyDescent="0.3">
      <c r="A55" s="6">
        <f t="shared" si="2"/>
        <v>46219</v>
      </c>
      <c r="B55" s="5">
        <f t="shared" si="3"/>
        <v>71452.054794520533</v>
      </c>
      <c r="C55" s="5">
        <f t="shared" si="4"/>
        <v>71452.054794520533</v>
      </c>
    </row>
    <row r="56" spans="1:5" x14ac:dyDescent="0.3">
      <c r="A56" s="6">
        <f t="shared" si="2"/>
        <v>46220</v>
      </c>
      <c r="B56" s="5">
        <f t="shared" si="3"/>
        <v>71452.054794520533</v>
      </c>
      <c r="C56" s="5">
        <f t="shared" si="4"/>
        <v>71452.054794520533</v>
      </c>
    </row>
    <row r="57" spans="1:5" x14ac:dyDescent="0.3">
      <c r="A57" s="6">
        <f t="shared" si="2"/>
        <v>46221</v>
      </c>
      <c r="B57" s="5">
        <f t="shared" si="3"/>
        <v>71452.054794520533</v>
      </c>
      <c r="C57" s="5">
        <f t="shared" si="4"/>
        <v>71452.054794520533</v>
      </c>
    </row>
    <row r="58" spans="1:5" x14ac:dyDescent="0.3">
      <c r="A58" s="6">
        <f t="shared" si="2"/>
        <v>46222</v>
      </c>
      <c r="B58" s="5">
        <f t="shared" si="3"/>
        <v>71452.054794520533</v>
      </c>
      <c r="C58" s="5">
        <f t="shared" si="4"/>
        <v>71452.054794520533</v>
      </c>
    </row>
    <row r="59" spans="1:5" x14ac:dyDescent="0.3">
      <c r="A59" s="6">
        <f t="shared" si="2"/>
        <v>46223</v>
      </c>
      <c r="B59" s="5">
        <f t="shared" si="3"/>
        <v>71452.054794520533</v>
      </c>
      <c r="C59" s="5">
        <f t="shared" si="4"/>
        <v>71452.054794520533</v>
      </c>
    </row>
    <row r="60" spans="1:5" x14ac:dyDescent="0.3">
      <c r="A60" s="6">
        <f t="shared" si="2"/>
        <v>46224</v>
      </c>
      <c r="B60" s="5">
        <f t="shared" si="3"/>
        <v>71452.054794520533</v>
      </c>
      <c r="C60" s="5">
        <f t="shared" si="4"/>
        <v>71452.054794520533</v>
      </c>
    </row>
    <row r="61" spans="1:5" x14ac:dyDescent="0.3">
      <c r="A61" s="6">
        <f t="shared" si="2"/>
        <v>46225</v>
      </c>
      <c r="B61" s="5">
        <f t="shared" si="3"/>
        <v>71452.054794520533</v>
      </c>
      <c r="C61" s="5">
        <f t="shared" si="4"/>
        <v>71452.054794520533</v>
      </c>
    </row>
    <row r="62" spans="1:5" x14ac:dyDescent="0.3">
      <c r="A62" s="6">
        <f t="shared" si="2"/>
        <v>46226</v>
      </c>
      <c r="B62" s="5">
        <f t="shared" si="3"/>
        <v>71452.054794520533</v>
      </c>
      <c r="C62" s="5">
        <f t="shared" si="4"/>
        <v>71452.054794520533</v>
      </c>
    </row>
    <row r="63" spans="1:5" x14ac:dyDescent="0.3">
      <c r="A63" s="6">
        <f t="shared" si="2"/>
        <v>46227</v>
      </c>
      <c r="B63" s="5">
        <f t="shared" si="3"/>
        <v>71452.054794520533</v>
      </c>
      <c r="C63" s="5">
        <f t="shared" si="4"/>
        <v>71452.054794520533</v>
      </c>
    </row>
    <row r="64" spans="1:5" x14ac:dyDescent="0.3">
      <c r="A64" s="6">
        <f t="shared" si="2"/>
        <v>46228</v>
      </c>
      <c r="B64" s="5">
        <f t="shared" si="3"/>
        <v>71452.054794520533</v>
      </c>
      <c r="C64" s="5">
        <f t="shared" si="4"/>
        <v>71452.054794520533</v>
      </c>
    </row>
    <row r="65" spans="1:8" x14ac:dyDescent="0.3">
      <c r="A65" s="6">
        <f t="shared" si="2"/>
        <v>46229</v>
      </c>
      <c r="B65" s="5">
        <f t="shared" si="3"/>
        <v>71452.054794520533</v>
      </c>
      <c r="C65" s="5">
        <f t="shared" si="4"/>
        <v>71452.054794520533</v>
      </c>
    </row>
    <row r="66" spans="1:8" x14ac:dyDescent="0.3">
      <c r="A66" s="6">
        <f t="shared" si="2"/>
        <v>46230</v>
      </c>
      <c r="B66" s="5">
        <f t="shared" si="3"/>
        <v>71452.054794520533</v>
      </c>
      <c r="C66" s="5">
        <f t="shared" si="4"/>
        <v>71452.054794520533</v>
      </c>
    </row>
    <row r="67" spans="1:8" x14ac:dyDescent="0.3">
      <c r="A67" s="6">
        <f t="shared" si="2"/>
        <v>46231</v>
      </c>
      <c r="B67" s="5">
        <f t="shared" si="3"/>
        <v>71452.054794520533</v>
      </c>
      <c r="C67" s="5">
        <f t="shared" si="4"/>
        <v>71452.054794520533</v>
      </c>
    </row>
    <row r="68" spans="1:8" x14ac:dyDescent="0.3">
      <c r="A68" s="6">
        <f t="shared" si="2"/>
        <v>46232</v>
      </c>
      <c r="B68" s="5">
        <f t="shared" si="3"/>
        <v>71452.054794520533</v>
      </c>
      <c r="C68" s="5">
        <f t="shared" si="4"/>
        <v>71452.054794520533</v>
      </c>
    </row>
    <row r="69" spans="1:8" x14ac:dyDescent="0.3">
      <c r="A69" s="6">
        <f t="shared" si="2"/>
        <v>46233</v>
      </c>
      <c r="B69" s="5">
        <f t="shared" si="3"/>
        <v>71452.054794520533</v>
      </c>
      <c r="C69" s="5">
        <f t="shared" si="4"/>
        <v>71452.054794520533</v>
      </c>
    </row>
    <row r="70" spans="1:8" x14ac:dyDescent="0.3">
      <c r="A70" s="6">
        <f t="shared" ref="A70" si="5">A36</f>
        <v>46234</v>
      </c>
      <c r="B70" s="5">
        <f t="shared" si="3"/>
        <v>71452.054794520533</v>
      </c>
      <c r="C70" s="5">
        <f t="shared" si="4"/>
        <v>71452.054794520533</v>
      </c>
    </row>
    <row r="71" spans="1:8" x14ac:dyDescent="0.3">
      <c r="A71" s="97"/>
      <c r="B71" s="98">
        <f>SUM(B40:B70)</f>
        <v>2215013.6986301374</v>
      </c>
      <c r="C71" s="5">
        <f t="shared" si="4"/>
        <v>2215013.6986301374</v>
      </c>
    </row>
    <row r="72" spans="1:8" x14ac:dyDescent="0.3">
      <c r="A72" s="940"/>
      <c r="B72" s="940"/>
      <c r="C72" s="940"/>
    </row>
    <row r="73" spans="1:8" x14ac:dyDescent="0.3">
      <c r="A73" s="1" t="s">
        <v>18</v>
      </c>
    </row>
    <row r="74" spans="1:8" s="45" customFormat="1" ht="41.4" x14ac:dyDescent="0.3">
      <c r="A74" s="51" t="s">
        <v>18</v>
      </c>
      <c r="B74" s="50" t="str">
        <f>B5</f>
        <v xml:space="preserve">
(C.D 10.06.2026, M.D 07.12.2026)</v>
      </c>
      <c r="C74" s="46" t="s">
        <v>0</v>
      </c>
      <c r="E74" s="571"/>
      <c r="F74" s="325"/>
    </row>
    <row r="75" spans="1:8" x14ac:dyDescent="0.3">
      <c r="A75" s="11" t="s">
        <v>15</v>
      </c>
      <c r="B75" s="572">
        <v>1500493.1506849313</v>
      </c>
      <c r="C75" s="306">
        <f>+SUM(B75:B75)</f>
        <v>1500493.1506849313</v>
      </c>
      <c r="D75" s="139"/>
      <c r="E75" s="325"/>
      <c r="F75" s="325"/>
    </row>
    <row r="76" spans="1:8" x14ac:dyDescent="0.3">
      <c r="A76" s="11" t="s">
        <v>16</v>
      </c>
      <c r="B76" s="5">
        <f>B71</f>
        <v>2215013.6986301374</v>
      </c>
      <c r="C76" s="306">
        <f>+SUM(B76:B76)</f>
        <v>2215013.6986301374</v>
      </c>
      <c r="E76" s="325"/>
      <c r="F76" s="325"/>
      <c r="G76" s="76"/>
      <c r="H76" s="76"/>
    </row>
    <row r="77" spans="1:8" x14ac:dyDescent="0.3">
      <c r="A77" s="11" t="s">
        <v>26</v>
      </c>
      <c r="B77" s="316">
        <v>0</v>
      </c>
      <c r="C77" s="306">
        <f>+SUM(B77:B77)</f>
        <v>0</v>
      </c>
      <c r="E77" s="325"/>
      <c r="F77" s="325"/>
    </row>
    <row r="78" spans="1:8" x14ac:dyDescent="0.3">
      <c r="A78" s="11" t="s">
        <v>14</v>
      </c>
      <c r="B78" s="5">
        <f>SUM(B75:B77)</f>
        <v>3715506.8493150687</v>
      </c>
      <c r="C78" s="306">
        <f>+SUM(B78:B78)</f>
        <v>3715506.8493150687</v>
      </c>
      <c r="E78" s="325"/>
      <c r="F78" s="325"/>
      <c r="H78" s="34"/>
    </row>
    <row r="79" spans="1:8" x14ac:dyDescent="0.3">
      <c r="A79" s="939"/>
      <c r="B79" s="939"/>
      <c r="C79" s="939"/>
    </row>
    <row r="80" spans="1:8" ht="17.399999999999999" x14ac:dyDescent="0.3">
      <c r="A80" s="12" t="s">
        <v>85</v>
      </c>
      <c r="B80" s="13">
        <v>0</v>
      </c>
      <c r="C80" s="13">
        <f>SUM(B80:B80)</f>
        <v>0</v>
      </c>
      <c r="D80" s="707"/>
      <c r="E80" s="707"/>
    </row>
    <row r="81" spans="1:4" x14ac:dyDescent="0.3">
      <c r="A81" s="940"/>
      <c r="B81" s="940"/>
      <c r="C81" s="940"/>
    </row>
    <row r="82" spans="1:4" x14ac:dyDescent="0.3">
      <c r="A82" s="12" t="s">
        <v>4</v>
      </c>
      <c r="B82" s="13"/>
      <c r="C82" s="13"/>
      <c r="D82" s="34"/>
    </row>
    <row r="83" spans="1:4" x14ac:dyDescent="0.3">
      <c r="A83" s="940"/>
      <c r="B83" s="940"/>
      <c r="C83" s="940"/>
    </row>
    <row r="84" spans="1:4" x14ac:dyDescent="0.3">
      <c r="A84" s="28" t="s">
        <v>17</v>
      </c>
      <c r="B84" s="29">
        <f>B71+B82+B77</f>
        <v>2215013.6986301374</v>
      </c>
      <c r="C84" s="29">
        <f>SUM(B84:B84)</f>
        <v>2215013.6986301374</v>
      </c>
    </row>
    <row r="85" spans="1:4" x14ac:dyDescent="0.3">
      <c r="A85" s="940"/>
      <c r="B85" s="940"/>
      <c r="C85" s="940"/>
    </row>
    <row r="86" spans="1:4" x14ac:dyDescent="0.3">
      <c r="A86" s="99" t="s">
        <v>31</v>
      </c>
      <c r="B86" s="98">
        <f>B78+B82-B80</f>
        <v>3715506.8493150687</v>
      </c>
      <c r="C86" s="98">
        <f>SUM(B86:B86)</f>
        <v>3715506.8493150687</v>
      </c>
      <c r="D86" s="34"/>
    </row>
    <row r="87" spans="1:4" x14ac:dyDescent="0.3">
      <c r="A87" s="321" t="s">
        <v>254</v>
      </c>
      <c r="B87" s="399">
        <v>30000899</v>
      </c>
      <c r="C87" s="399"/>
    </row>
    <row r="88" spans="1:4" x14ac:dyDescent="0.3">
      <c r="B88" s="1"/>
    </row>
    <row r="90" spans="1:4" x14ac:dyDescent="0.3">
      <c r="A90" s="318" t="s">
        <v>265</v>
      </c>
      <c r="B90" s="399">
        <v>9200000013</v>
      </c>
    </row>
    <row r="91" spans="1:4" x14ac:dyDescent="0.3">
      <c r="A91" s="318" t="s">
        <v>266</v>
      </c>
      <c r="B91" s="399">
        <v>40000006</v>
      </c>
    </row>
  </sheetData>
  <mergeCells count="9">
    <mergeCell ref="A79:C79"/>
    <mergeCell ref="A81:C81"/>
    <mergeCell ref="A83:C83"/>
    <mergeCell ref="A85:C85"/>
    <mergeCell ref="A1:C1"/>
    <mergeCell ref="A3:C3"/>
    <mergeCell ref="A4:C4"/>
    <mergeCell ref="A37:C37"/>
    <mergeCell ref="A72:C72"/>
  </mergeCells>
  <phoneticPr fontId="23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52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71E5-03F8-4447-A5A4-D07B8DC3990C}">
  <sheetPr>
    <tabColor theme="0"/>
    <pageSetUpPr fitToPage="1"/>
  </sheetPr>
  <dimension ref="A1:N91"/>
  <sheetViews>
    <sheetView showGridLines="0" view="pageBreakPreview" topLeftCell="A69" zoomScaleNormal="100" zoomScaleSheetLayoutView="100" workbookViewId="0">
      <selection activeCell="B76" sqref="B76:J76"/>
    </sheetView>
  </sheetViews>
  <sheetFormatPr defaultColWidth="8.90625" defaultRowHeight="13.8" x14ac:dyDescent="0.3"/>
  <cols>
    <col min="1" max="1" width="16.1796875" style="3" customWidth="1"/>
    <col min="2" max="10" width="14" style="31" customWidth="1"/>
    <col min="11" max="11" width="13.6328125" style="3" customWidth="1"/>
    <col min="12" max="12" width="12.81640625" style="3" bestFit="1" customWidth="1"/>
    <col min="13" max="13" width="5.90625" style="3" customWidth="1"/>
    <col min="14" max="14" width="8.1796875" style="3" customWidth="1"/>
    <col min="15" max="16384" width="8.90625" style="3"/>
  </cols>
  <sheetData>
    <row r="1" spans="1:14" ht="18" x14ac:dyDescent="0.35">
      <c r="A1" s="7" t="s">
        <v>35</v>
      </c>
      <c r="B1" s="196"/>
      <c r="C1" s="196"/>
      <c r="D1" s="196"/>
      <c r="E1" s="196"/>
      <c r="F1" s="196"/>
      <c r="G1" s="196"/>
      <c r="H1" s="196"/>
      <c r="I1" s="196"/>
      <c r="J1" s="196"/>
      <c r="K1" s="2"/>
    </row>
    <row r="2" spans="1:14" ht="18.600000000000001" thickBot="1" x14ac:dyDescent="0.4">
      <c r="A2" s="8" t="s">
        <v>278</v>
      </c>
      <c r="B2" s="72"/>
      <c r="C2" s="72"/>
      <c r="D2" s="72"/>
      <c r="E2" s="72"/>
      <c r="F2" s="72"/>
      <c r="G2" s="72"/>
      <c r="H2" s="72"/>
      <c r="I2" s="72"/>
      <c r="J2" s="72"/>
      <c r="K2" s="27">
        <f>'FINANCIAL COST SUMMARY'!K2</f>
        <v>46204</v>
      </c>
    </row>
    <row r="3" spans="1:14" x14ac:dyDescent="0.3">
      <c r="A3" s="4"/>
      <c r="B3" s="197"/>
      <c r="C3" s="197"/>
      <c r="D3" s="197"/>
      <c r="E3" s="197"/>
      <c r="F3" s="197"/>
      <c r="G3" s="197"/>
      <c r="H3" s="197"/>
      <c r="I3" s="197"/>
      <c r="J3" s="197"/>
      <c r="K3" s="49"/>
    </row>
    <row r="4" spans="1:14" x14ac:dyDescent="0.3">
      <c r="A4" s="319" t="s">
        <v>19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4" s="75" customFormat="1" ht="41.4" x14ac:dyDescent="0.25">
      <c r="A5" s="51" t="s">
        <v>2</v>
      </c>
      <c r="B5" s="328" t="s">
        <v>384</v>
      </c>
      <c r="C5" s="328" t="s">
        <v>397</v>
      </c>
      <c r="D5" s="328" t="s">
        <v>396</v>
      </c>
      <c r="E5" s="328" t="s">
        <v>425</v>
      </c>
      <c r="F5" s="328" t="s">
        <v>426</v>
      </c>
      <c r="G5" s="328" t="s">
        <v>427</v>
      </c>
      <c r="H5" s="328" t="s">
        <v>428</v>
      </c>
      <c r="I5" s="328" t="s">
        <v>429</v>
      </c>
      <c r="J5" s="328" t="s">
        <v>430</v>
      </c>
      <c r="K5" s="46" t="s">
        <v>0</v>
      </c>
      <c r="N5" s="82"/>
    </row>
    <row r="6" spans="1:14" x14ac:dyDescent="0.3">
      <c r="A6" s="6">
        <v>46204</v>
      </c>
      <c r="B6" s="304">
        <f t="shared" ref="B6:B21" si="0">48090*281.5</f>
        <v>13537335</v>
      </c>
      <c r="C6" s="304">
        <f>226800*281.35</f>
        <v>63810180.000000007</v>
      </c>
      <c r="D6" s="304">
        <f t="shared" ref="D6:D19" si="1">48924*280.55</f>
        <v>13725628.200000001</v>
      </c>
      <c r="E6" s="304">
        <f t="shared" ref="E6:E36" si="2">96000*279.8</f>
        <v>26860800</v>
      </c>
      <c r="F6" s="304">
        <f t="shared" ref="F6:F7" si="3">46980*279.8</f>
        <v>13145004</v>
      </c>
      <c r="G6" s="304">
        <f t="shared" ref="G6:G7" si="4">21800*279.8</f>
        <v>6099640</v>
      </c>
      <c r="H6" s="304">
        <f t="shared" ref="H6:H15" si="5">35406*280</f>
        <v>9913680</v>
      </c>
      <c r="I6" s="304">
        <f t="shared" ref="I6:I26" si="6">47452.5*280</f>
        <v>13286700</v>
      </c>
      <c r="J6" s="304">
        <f t="shared" ref="J6:J33" si="7">202800*280</f>
        <v>56784000</v>
      </c>
      <c r="K6" s="5">
        <f>SUM(B6:J6)</f>
        <v>217162967.19999999</v>
      </c>
      <c r="L6" s="77">
        <v>46195</v>
      </c>
      <c r="M6" s="75">
        <v>180</v>
      </c>
      <c r="N6" s="82">
        <f>+L6+M6</f>
        <v>46375</v>
      </c>
    </row>
    <row r="7" spans="1:14" x14ac:dyDescent="0.3">
      <c r="A7" s="6">
        <f t="shared" ref="A7:A36" si="8">+A6+1</f>
        <v>46205</v>
      </c>
      <c r="B7" s="304">
        <f t="shared" si="0"/>
        <v>13537335</v>
      </c>
      <c r="C7" s="304">
        <f>226800*281.35</f>
        <v>63810180.000000007</v>
      </c>
      <c r="D7" s="304">
        <f t="shared" si="1"/>
        <v>13725628.200000001</v>
      </c>
      <c r="E7" s="304">
        <f t="shared" si="2"/>
        <v>26860800</v>
      </c>
      <c r="F7" s="304">
        <f t="shared" si="3"/>
        <v>13145004</v>
      </c>
      <c r="G7" s="304">
        <f t="shared" si="4"/>
        <v>6099640</v>
      </c>
      <c r="H7" s="304">
        <f t="shared" si="5"/>
        <v>9913680</v>
      </c>
      <c r="I7" s="304">
        <f t="shared" si="6"/>
        <v>13286700</v>
      </c>
      <c r="J7" s="304">
        <f t="shared" si="7"/>
        <v>56784000</v>
      </c>
      <c r="K7" s="5">
        <f t="shared" ref="K7:K34" si="9">SUM(B7:J7)</f>
        <v>217162967.19999999</v>
      </c>
      <c r="L7" s="76"/>
      <c r="M7" s="76"/>
      <c r="N7" s="76"/>
    </row>
    <row r="8" spans="1:14" x14ac:dyDescent="0.3">
      <c r="A8" s="6">
        <f t="shared" si="8"/>
        <v>46206</v>
      </c>
      <c r="B8" s="304">
        <f t="shared" si="0"/>
        <v>13537335</v>
      </c>
      <c r="C8" s="304">
        <f>226800*281.35</f>
        <v>63810180.000000007</v>
      </c>
      <c r="D8" s="304">
        <f t="shared" si="1"/>
        <v>13725628.200000001</v>
      </c>
      <c r="E8" s="304">
        <f t="shared" si="2"/>
        <v>26860800</v>
      </c>
      <c r="F8" s="304">
        <f>46980*279.8</f>
        <v>13145004</v>
      </c>
      <c r="G8" s="304">
        <f>21800*279.8</f>
        <v>6099640</v>
      </c>
      <c r="H8" s="304">
        <f t="shared" si="5"/>
        <v>9913680</v>
      </c>
      <c r="I8" s="304">
        <f t="shared" si="6"/>
        <v>13286700</v>
      </c>
      <c r="J8" s="304">
        <f t="shared" si="7"/>
        <v>56784000</v>
      </c>
      <c r="K8" s="5">
        <f t="shared" si="9"/>
        <v>217162967.19999999</v>
      </c>
      <c r="L8" s="34"/>
    </row>
    <row r="9" spans="1:14" x14ac:dyDescent="0.3">
      <c r="A9" s="6">
        <f t="shared" si="8"/>
        <v>46207</v>
      </c>
      <c r="B9" s="304">
        <f t="shared" si="0"/>
        <v>13537335</v>
      </c>
      <c r="C9" s="304">
        <f>226800*281.35</f>
        <v>63810180.000000007</v>
      </c>
      <c r="D9" s="304">
        <f t="shared" si="1"/>
        <v>13725628.200000001</v>
      </c>
      <c r="E9" s="304">
        <f t="shared" si="2"/>
        <v>26860800</v>
      </c>
      <c r="F9" s="304">
        <f t="shared" ref="F9:F36" si="10">46980*279.8</f>
        <v>13145004</v>
      </c>
      <c r="G9" s="304">
        <f t="shared" ref="G9:G36" si="11">21800*279.8</f>
        <v>6099640</v>
      </c>
      <c r="H9" s="304">
        <f t="shared" si="5"/>
        <v>9913680</v>
      </c>
      <c r="I9" s="304">
        <f t="shared" si="6"/>
        <v>13286700</v>
      </c>
      <c r="J9" s="304">
        <f t="shared" si="7"/>
        <v>56784000</v>
      </c>
      <c r="K9" s="5">
        <f t="shared" si="9"/>
        <v>217162967.19999999</v>
      </c>
      <c r="N9" s="76"/>
    </row>
    <row r="10" spans="1:14" x14ac:dyDescent="0.3">
      <c r="A10" s="6">
        <f t="shared" si="8"/>
        <v>46208</v>
      </c>
      <c r="B10" s="304">
        <f t="shared" si="0"/>
        <v>13537335</v>
      </c>
      <c r="C10" s="304">
        <f t="shared" ref="C10:C36" si="12">226800*281.35</f>
        <v>63810180.000000007</v>
      </c>
      <c r="D10" s="304">
        <f t="shared" si="1"/>
        <v>13725628.200000001</v>
      </c>
      <c r="E10" s="304">
        <f t="shared" si="2"/>
        <v>26860800</v>
      </c>
      <c r="F10" s="304">
        <f t="shared" si="10"/>
        <v>13145004</v>
      </c>
      <c r="G10" s="304">
        <f t="shared" si="11"/>
        <v>6099640</v>
      </c>
      <c r="H10" s="304">
        <f t="shared" si="5"/>
        <v>9913680</v>
      </c>
      <c r="I10" s="304">
        <f t="shared" si="6"/>
        <v>13286700</v>
      </c>
      <c r="J10" s="304">
        <f t="shared" si="7"/>
        <v>56784000</v>
      </c>
      <c r="K10" s="5">
        <f t="shared" si="9"/>
        <v>217162967.19999999</v>
      </c>
    </row>
    <row r="11" spans="1:14" x14ac:dyDescent="0.3">
      <c r="A11" s="6">
        <f t="shared" si="8"/>
        <v>46209</v>
      </c>
      <c r="B11" s="304">
        <f t="shared" si="0"/>
        <v>13537335</v>
      </c>
      <c r="C11" s="304">
        <f t="shared" si="12"/>
        <v>63810180.000000007</v>
      </c>
      <c r="D11" s="304">
        <f t="shared" si="1"/>
        <v>13725628.200000001</v>
      </c>
      <c r="E11" s="304">
        <f t="shared" si="2"/>
        <v>26860800</v>
      </c>
      <c r="F11" s="304">
        <f t="shared" si="10"/>
        <v>13145004</v>
      </c>
      <c r="G11" s="304">
        <f t="shared" si="11"/>
        <v>6099640</v>
      </c>
      <c r="H11" s="304">
        <f t="shared" si="5"/>
        <v>9913680</v>
      </c>
      <c r="I11" s="304">
        <f t="shared" si="6"/>
        <v>13286700</v>
      </c>
      <c r="J11" s="304">
        <f t="shared" si="7"/>
        <v>56784000</v>
      </c>
      <c r="K11" s="5">
        <f t="shared" si="9"/>
        <v>217162967.19999999</v>
      </c>
    </row>
    <row r="12" spans="1:14" x14ac:dyDescent="0.3">
      <c r="A12" s="6">
        <f t="shared" si="8"/>
        <v>46210</v>
      </c>
      <c r="B12" s="304">
        <f t="shared" si="0"/>
        <v>13537335</v>
      </c>
      <c r="C12" s="304">
        <f t="shared" si="12"/>
        <v>63810180.000000007</v>
      </c>
      <c r="D12" s="304">
        <f t="shared" si="1"/>
        <v>13725628.200000001</v>
      </c>
      <c r="E12" s="304">
        <f t="shared" si="2"/>
        <v>26860800</v>
      </c>
      <c r="F12" s="304">
        <f t="shared" si="10"/>
        <v>13145004</v>
      </c>
      <c r="G12" s="304">
        <f t="shared" si="11"/>
        <v>6099640</v>
      </c>
      <c r="H12" s="304">
        <f t="shared" si="5"/>
        <v>9913680</v>
      </c>
      <c r="I12" s="304">
        <f t="shared" si="6"/>
        <v>13286700</v>
      </c>
      <c r="J12" s="304">
        <f t="shared" si="7"/>
        <v>56784000</v>
      </c>
      <c r="K12" s="5">
        <f t="shared" si="9"/>
        <v>217162967.19999999</v>
      </c>
      <c r="L12" s="76"/>
      <c r="M12" s="76"/>
    </row>
    <row r="13" spans="1:14" x14ac:dyDescent="0.3">
      <c r="A13" s="6">
        <f t="shared" si="8"/>
        <v>46211</v>
      </c>
      <c r="B13" s="304">
        <f t="shared" si="0"/>
        <v>13537335</v>
      </c>
      <c r="C13" s="304">
        <f t="shared" si="12"/>
        <v>63810180.000000007</v>
      </c>
      <c r="D13" s="304">
        <f t="shared" si="1"/>
        <v>13725628.200000001</v>
      </c>
      <c r="E13" s="304">
        <f t="shared" si="2"/>
        <v>26860800</v>
      </c>
      <c r="F13" s="304">
        <f t="shared" si="10"/>
        <v>13145004</v>
      </c>
      <c r="G13" s="304">
        <f t="shared" si="11"/>
        <v>6099640</v>
      </c>
      <c r="H13" s="304">
        <f t="shared" si="5"/>
        <v>9913680</v>
      </c>
      <c r="I13" s="304">
        <f t="shared" si="6"/>
        <v>13286700</v>
      </c>
      <c r="J13" s="304">
        <f t="shared" si="7"/>
        <v>56784000</v>
      </c>
      <c r="K13" s="5">
        <f t="shared" si="9"/>
        <v>217162967.19999999</v>
      </c>
    </row>
    <row r="14" spans="1:14" x14ac:dyDescent="0.3">
      <c r="A14" s="6">
        <f t="shared" si="8"/>
        <v>46212</v>
      </c>
      <c r="B14" s="304">
        <f t="shared" si="0"/>
        <v>13537335</v>
      </c>
      <c r="C14" s="304">
        <f t="shared" si="12"/>
        <v>63810180.000000007</v>
      </c>
      <c r="D14" s="304">
        <f t="shared" si="1"/>
        <v>13725628.200000001</v>
      </c>
      <c r="E14" s="304">
        <f t="shared" si="2"/>
        <v>26860800</v>
      </c>
      <c r="F14" s="304">
        <f t="shared" si="10"/>
        <v>13145004</v>
      </c>
      <c r="G14" s="304">
        <f t="shared" si="11"/>
        <v>6099640</v>
      </c>
      <c r="H14" s="304">
        <f t="shared" si="5"/>
        <v>9913680</v>
      </c>
      <c r="I14" s="304">
        <f t="shared" si="6"/>
        <v>13286700</v>
      </c>
      <c r="J14" s="304">
        <f t="shared" si="7"/>
        <v>56784000</v>
      </c>
      <c r="K14" s="5">
        <f t="shared" si="9"/>
        <v>217162967.19999999</v>
      </c>
    </row>
    <row r="15" spans="1:14" x14ac:dyDescent="0.3">
      <c r="A15" s="6">
        <f t="shared" si="8"/>
        <v>46213</v>
      </c>
      <c r="B15" s="304">
        <f t="shared" si="0"/>
        <v>13537335</v>
      </c>
      <c r="C15" s="304">
        <f t="shared" si="12"/>
        <v>63810180.000000007</v>
      </c>
      <c r="D15" s="304">
        <f t="shared" si="1"/>
        <v>13725628.200000001</v>
      </c>
      <c r="E15" s="304">
        <f t="shared" si="2"/>
        <v>26860800</v>
      </c>
      <c r="F15" s="304">
        <f t="shared" si="10"/>
        <v>13145004</v>
      </c>
      <c r="G15" s="304">
        <f t="shared" si="11"/>
        <v>6099640</v>
      </c>
      <c r="H15" s="304">
        <f t="shared" si="5"/>
        <v>9913680</v>
      </c>
      <c r="I15" s="304">
        <f t="shared" si="6"/>
        <v>13286700</v>
      </c>
      <c r="J15" s="304">
        <f t="shared" si="7"/>
        <v>56784000</v>
      </c>
      <c r="K15" s="5">
        <f t="shared" si="9"/>
        <v>217162967.19999999</v>
      </c>
    </row>
    <row r="16" spans="1:14" x14ac:dyDescent="0.3">
      <c r="A16" s="6">
        <f t="shared" si="8"/>
        <v>46214</v>
      </c>
      <c r="B16" s="304">
        <f t="shared" si="0"/>
        <v>13537335</v>
      </c>
      <c r="C16" s="304">
        <f t="shared" si="12"/>
        <v>63810180.000000007</v>
      </c>
      <c r="D16" s="304">
        <f t="shared" si="1"/>
        <v>13725628.200000001</v>
      </c>
      <c r="E16" s="304">
        <f t="shared" si="2"/>
        <v>26860800</v>
      </c>
      <c r="F16" s="304">
        <f t="shared" si="10"/>
        <v>13145004</v>
      </c>
      <c r="G16" s="304">
        <f t="shared" si="11"/>
        <v>6099640</v>
      </c>
      <c r="H16" s="304">
        <f>35406*280</f>
        <v>9913680</v>
      </c>
      <c r="I16" s="304">
        <f t="shared" si="6"/>
        <v>13286700</v>
      </c>
      <c r="J16" s="304">
        <f t="shared" si="7"/>
        <v>56784000</v>
      </c>
      <c r="K16" s="5">
        <f t="shared" si="9"/>
        <v>217162967.19999999</v>
      </c>
      <c r="M16" s="325"/>
    </row>
    <row r="17" spans="1:13" x14ac:dyDescent="0.3">
      <c r="A17" s="6">
        <f t="shared" si="8"/>
        <v>46215</v>
      </c>
      <c r="B17" s="304">
        <f t="shared" si="0"/>
        <v>13537335</v>
      </c>
      <c r="C17" s="304">
        <f t="shared" si="12"/>
        <v>63810180.000000007</v>
      </c>
      <c r="D17" s="304">
        <f t="shared" si="1"/>
        <v>13725628.200000001</v>
      </c>
      <c r="E17" s="304">
        <f t="shared" si="2"/>
        <v>26860800</v>
      </c>
      <c r="F17" s="304">
        <f t="shared" si="10"/>
        <v>13145004</v>
      </c>
      <c r="G17" s="304">
        <f t="shared" si="11"/>
        <v>6099640</v>
      </c>
      <c r="H17" s="304">
        <f t="shared" ref="H17:H36" si="13">35406*280</f>
        <v>9913680</v>
      </c>
      <c r="I17" s="304">
        <f t="shared" si="6"/>
        <v>13286700</v>
      </c>
      <c r="J17" s="304">
        <f t="shared" si="7"/>
        <v>56784000</v>
      </c>
      <c r="K17" s="5">
        <f t="shared" si="9"/>
        <v>217162967.19999999</v>
      </c>
      <c r="M17" s="325"/>
    </row>
    <row r="18" spans="1:13" x14ac:dyDescent="0.3">
      <c r="A18" s="6">
        <f t="shared" si="8"/>
        <v>46216</v>
      </c>
      <c r="B18" s="304">
        <f t="shared" si="0"/>
        <v>13537335</v>
      </c>
      <c r="C18" s="304">
        <f t="shared" si="12"/>
        <v>63810180.000000007</v>
      </c>
      <c r="D18" s="304">
        <f t="shared" si="1"/>
        <v>13725628.200000001</v>
      </c>
      <c r="E18" s="304">
        <f t="shared" si="2"/>
        <v>26860800</v>
      </c>
      <c r="F18" s="304">
        <f t="shared" si="10"/>
        <v>13145004</v>
      </c>
      <c r="G18" s="304">
        <f t="shared" si="11"/>
        <v>6099640</v>
      </c>
      <c r="H18" s="304">
        <f t="shared" si="13"/>
        <v>9913680</v>
      </c>
      <c r="I18" s="304">
        <f t="shared" si="6"/>
        <v>13286700</v>
      </c>
      <c r="J18" s="304">
        <f t="shared" si="7"/>
        <v>56784000</v>
      </c>
      <c r="K18" s="5">
        <f t="shared" si="9"/>
        <v>217162967.19999999</v>
      </c>
      <c r="M18" s="325"/>
    </row>
    <row r="19" spans="1:13" x14ac:dyDescent="0.3">
      <c r="A19" s="6">
        <f t="shared" si="8"/>
        <v>46217</v>
      </c>
      <c r="B19" s="304">
        <f t="shared" si="0"/>
        <v>13537335</v>
      </c>
      <c r="C19" s="304">
        <f t="shared" si="12"/>
        <v>63810180.000000007</v>
      </c>
      <c r="D19" s="304">
        <f t="shared" si="1"/>
        <v>13725628.200000001</v>
      </c>
      <c r="E19" s="304">
        <f t="shared" si="2"/>
        <v>26860800</v>
      </c>
      <c r="F19" s="304">
        <f t="shared" si="10"/>
        <v>13145004</v>
      </c>
      <c r="G19" s="304">
        <f t="shared" si="11"/>
        <v>6099640</v>
      </c>
      <c r="H19" s="304">
        <f t="shared" si="13"/>
        <v>9913680</v>
      </c>
      <c r="I19" s="304">
        <f t="shared" si="6"/>
        <v>13286700</v>
      </c>
      <c r="J19" s="304">
        <f t="shared" si="7"/>
        <v>56784000</v>
      </c>
      <c r="K19" s="5">
        <f t="shared" si="9"/>
        <v>217162967.19999999</v>
      </c>
      <c r="M19" s="325"/>
    </row>
    <row r="20" spans="1:13" x14ac:dyDescent="0.3">
      <c r="A20" s="6">
        <f t="shared" si="8"/>
        <v>46218</v>
      </c>
      <c r="B20" s="304">
        <f t="shared" si="0"/>
        <v>13537335</v>
      </c>
      <c r="C20" s="304">
        <f t="shared" si="12"/>
        <v>63810180.000000007</v>
      </c>
      <c r="D20" s="304">
        <f>48924*280.55</f>
        <v>13725628.200000001</v>
      </c>
      <c r="E20" s="304">
        <f t="shared" si="2"/>
        <v>26860800</v>
      </c>
      <c r="F20" s="304">
        <f t="shared" si="10"/>
        <v>13145004</v>
      </c>
      <c r="G20" s="304">
        <f t="shared" si="11"/>
        <v>6099640</v>
      </c>
      <c r="H20" s="304">
        <f t="shared" si="13"/>
        <v>9913680</v>
      </c>
      <c r="I20" s="304">
        <f t="shared" si="6"/>
        <v>13286700</v>
      </c>
      <c r="J20" s="304">
        <f t="shared" si="7"/>
        <v>56784000</v>
      </c>
      <c r="K20" s="5">
        <f t="shared" si="9"/>
        <v>217162967.19999999</v>
      </c>
      <c r="M20" s="325"/>
    </row>
    <row r="21" spans="1:13" x14ac:dyDescent="0.3">
      <c r="A21" s="6">
        <f t="shared" si="8"/>
        <v>46219</v>
      </c>
      <c r="B21" s="304">
        <f t="shared" si="0"/>
        <v>13537335</v>
      </c>
      <c r="C21" s="304">
        <f t="shared" si="12"/>
        <v>63810180.000000007</v>
      </c>
      <c r="D21" s="304">
        <f t="shared" ref="D21:D36" si="14">48924*280.55</f>
        <v>13725628.200000001</v>
      </c>
      <c r="E21" s="304">
        <f t="shared" si="2"/>
        <v>26860800</v>
      </c>
      <c r="F21" s="304">
        <f t="shared" si="10"/>
        <v>13145004</v>
      </c>
      <c r="G21" s="304">
        <f t="shared" si="11"/>
        <v>6099640</v>
      </c>
      <c r="H21" s="304">
        <f t="shared" si="13"/>
        <v>9913680</v>
      </c>
      <c r="I21" s="304">
        <f t="shared" si="6"/>
        <v>13286700</v>
      </c>
      <c r="J21" s="304">
        <f t="shared" si="7"/>
        <v>56784000</v>
      </c>
      <c r="K21" s="5">
        <f t="shared" si="9"/>
        <v>217162967.19999999</v>
      </c>
      <c r="L21" s="325"/>
      <c r="M21" s="325"/>
    </row>
    <row r="22" spans="1:13" x14ac:dyDescent="0.3">
      <c r="A22" s="6">
        <f t="shared" si="8"/>
        <v>46220</v>
      </c>
      <c r="B22" s="304">
        <f>48090*281.5</f>
        <v>13537335</v>
      </c>
      <c r="C22" s="304">
        <f t="shared" si="12"/>
        <v>63810180.000000007</v>
      </c>
      <c r="D22" s="304">
        <f t="shared" si="14"/>
        <v>13725628.200000001</v>
      </c>
      <c r="E22" s="304">
        <f t="shared" si="2"/>
        <v>26860800</v>
      </c>
      <c r="F22" s="304">
        <f t="shared" si="10"/>
        <v>13145004</v>
      </c>
      <c r="G22" s="304">
        <f t="shared" si="11"/>
        <v>6099640</v>
      </c>
      <c r="H22" s="304">
        <f t="shared" si="13"/>
        <v>9913680</v>
      </c>
      <c r="I22" s="304">
        <f t="shared" si="6"/>
        <v>13286700</v>
      </c>
      <c r="J22" s="304">
        <f t="shared" si="7"/>
        <v>56784000</v>
      </c>
      <c r="K22" s="5">
        <f t="shared" si="9"/>
        <v>217162967.19999999</v>
      </c>
      <c r="L22" s="325"/>
    </row>
    <row r="23" spans="1:13" s="331" customFormat="1" x14ac:dyDescent="0.3">
      <c r="A23" s="315">
        <f t="shared" si="8"/>
        <v>46221</v>
      </c>
      <c r="B23" s="304">
        <f t="shared" ref="B23:B36" si="15">48090*281.5</f>
        <v>13537335</v>
      </c>
      <c r="C23" s="304">
        <f t="shared" si="12"/>
        <v>63810180.000000007</v>
      </c>
      <c r="D23" s="304">
        <f t="shared" si="14"/>
        <v>13725628.200000001</v>
      </c>
      <c r="E23" s="304">
        <f t="shared" si="2"/>
        <v>26860800</v>
      </c>
      <c r="F23" s="304">
        <f t="shared" si="10"/>
        <v>13145004</v>
      </c>
      <c r="G23" s="304">
        <f t="shared" si="11"/>
        <v>6099640</v>
      </c>
      <c r="H23" s="304">
        <f t="shared" si="13"/>
        <v>9913680</v>
      </c>
      <c r="I23" s="304">
        <f t="shared" si="6"/>
        <v>13286700</v>
      </c>
      <c r="J23" s="304">
        <f t="shared" si="7"/>
        <v>56784000</v>
      </c>
      <c r="K23" s="5">
        <f t="shared" si="9"/>
        <v>217162967.19999999</v>
      </c>
      <c r="L23" s="379"/>
    </row>
    <row r="24" spans="1:13" x14ac:dyDescent="0.3">
      <c r="A24" s="6">
        <f t="shared" si="8"/>
        <v>46222</v>
      </c>
      <c r="B24" s="304">
        <f t="shared" si="15"/>
        <v>13537335</v>
      </c>
      <c r="C24" s="304">
        <f t="shared" si="12"/>
        <v>63810180.000000007</v>
      </c>
      <c r="D24" s="304">
        <f t="shared" si="14"/>
        <v>13725628.200000001</v>
      </c>
      <c r="E24" s="304">
        <f t="shared" si="2"/>
        <v>26860800</v>
      </c>
      <c r="F24" s="304">
        <f t="shared" si="10"/>
        <v>13145004</v>
      </c>
      <c r="G24" s="304">
        <f t="shared" si="11"/>
        <v>6099640</v>
      </c>
      <c r="H24" s="304">
        <f t="shared" si="13"/>
        <v>9913680</v>
      </c>
      <c r="I24" s="304">
        <f t="shared" si="6"/>
        <v>13286700</v>
      </c>
      <c r="J24" s="304">
        <f t="shared" si="7"/>
        <v>56784000</v>
      </c>
      <c r="K24" s="5">
        <f t="shared" si="9"/>
        <v>217162967.19999999</v>
      </c>
      <c r="L24" s="325"/>
    </row>
    <row r="25" spans="1:13" x14ac:dyDescent="0.3">
      <c r="A25" s="6">
        <f t="shared" si="8"/>
        <v>46223</v>
      </c>
      <c r="B25" s="304">
        <f t="shared" si="15"/>
        <v>13537335</v>
      </c>
      <c r="C25" s="304">
        <f t="shared" si="12"/>
        <v>63810180.000000007</v>
      </c>
      <c r="D25" s="304">
        <f t="shared" si="14"/>
        <v>13725628.200000001</v>
      </c>
      <c r="E25" s="304">
        <f t="shared" si="2"/>
        <v>26860800</v>
      </c>
      <c r="F25" s="304">
        <f t="shared" si="10"/>
        <v>13145004</v>
      </c>
      <c r="G25" s="304">
        <f t="shared" si="11"/>
        <v>6099640</v>
      </c>
      <c r="H25" s="304">
        <f t="shared" si="13"/>
        <v>9913680</v>
      </c>
      <c r="I25" s="304">
        <f t="shared" si="6"/>
        <v>13286700</v>
      </c>
      <c r="J25" s="304">
        <f t="shared" si="7"/>
        <v>56784000</v>
      </c>
      <c r="K25" s="5">
        <f t="shared" si="9"/>
        <v>217162967.19999999</v>
      </c>
      <c r="L25" s="325"/>
    </row>
    <row r="26" spans="1:13" x14ac:dyDescent="0.3">
      <c r="A26" s="6">
        <f t="shared" si="8"/>
        <v>46224</v>
      </c>
      <c r="B26" s="304">
        <f t="shared" si="15"/>
        <v>13537335</v>
      </c>
      <c r="C26" s="304">
        <f t="shared" si="12"/>
        <v>63810180.000000007</v>
      </c>
      <c r="D26" s="304">
        <f t="shared" si="14"/>
        <v>13725628.200000001</v>
      </c>
      <c r="E26" s="304">
        <f t="shared" si="2"/>
        <v>26860800</v>
      </c>
      <c r="F26" s="304">
        <f t="shared" si="10"/>
        <v>13145004</v>
      </c>
      <c r="G26" s="304">
        <f t="shared" si="11"/>
        <v>6099640</v>
      </c>
      <c r="H26" s="304">
        <f t="shared" si="13"/>
        <v>9913680</v>
      </c>
      <c r="I26" s="304">
        <f t="shared" si="6"/>
        <v>13286700</v>
      </c>
      <c r="J26" s="304">
        <f t="shared" si="7"/>
        <v>56784000</v>
      </c>
      <c r="K26" s="5">
        <f t="shared" si="9"/>
        <v>217162967.19999999</v>
      </c>
      <c r="L26" s="819"/>
    </row>
    <row r="27" spans="1:13" ht="14.4" x14ac:dyDescent="0.3">
      <c r="A27" s="6">
        <f t="shared" si="8"/>
        <v>46225</v>
      </c>
      <c r="B27" s="304">
        <f t="shared" si="15"/>
        <v>13537335</v>
      </c>
      <c r="C27" s="304">
        <f t="shared" si="12"/>
        <v>63810180.000000007</v>
      </c>
      <c r="D27" s="304">
        <f t="shared" si="14"/>
        <v>13725628.200000001</v>
      </c>
      <c r="E27" s="304">
        <f t="shared" si="2"/>
        <v>26860800</v>
      </c>
      <c r="F27" s="304">
        <f t="shared" si="10"/>
        <v>13145004</v>
      </c>
      <c r="G27" s="304">
        <f t="shared" si="11"/>
        <v>6099640</v>
      </c>
      <c r="H27" s="304">
        <f t="shared" si="13"/>
        <v>9913680</v>
      </c>
      <c r="I27" s="304">
        <f>47452.5*280</f>
        <v>13286700</v>
      </c>
      <c r="J27" s="304">
        <f t="shared" si="7"/>
        <v>56784000</v>
      </c>
      <c r="K27" s="5">
        <f t="shared" si="9"/>
        <v>217162967.19999999</v>
      </c>
      <c r="L27" s="841"/>
    </row>
    <row r="28" spans="1:13" ht="14.4" x14ac:dyDescent="0.3">
      <c r="A28" s="6">
        <f t="shared" si="8"/>
        <v>46226</v>
      </c>
      <c r="B28" s="304">
        <f t="shared" si="15"/>
        <v>13537335</v>
      </c>
      <c r="C28" s="304">
        <f t="shared" si="12"/>
        <v>63810180.000000007</v>
      </c>
      <c r="D28" s="304">
        <f t="shared" si="14"/>
        <v>13725628.200000001</v>
      </c>
      <c r="E28" s="304">
        <f t="shared" si="2"/>
        <v>26860800</v>
      </c>
      <c r="F28" s="304">
        <f t="shared" si="10"/>
        <v>13145004</v>
      </c>
      <c r="G28" s="304">
        <f t="shared" si="11"/>
        <v>6099640</v>
      </c>
      <c r="H28" s="304">
        <f t="shared" si="13"/>
        <v>9913680</v>
      </c>
      <c r="I28" s="304">
        <f t="shared" ref="I28:I36" si="16">47452.5*280</f>
        <v>13286700</v>
      </c>
      <c r="J28" s="304">
        <f t="shared" si="7"/>
        <v>56784000</v>
      </c>
      <c r="K28" s="5">
        <f t="shared" si="9"/>
        <v>217162967.19999999</v>
      </c>
      <c r="L28" s="841"/>
    </row>
    <row r="29" spans="1:13" ht="14.4" x14ac:dyDescent="0.3">
      <c r="A29" s="6">
        <f t="shared" si="8"/>
        <v>46227</v>
      </c>
      <c r="B29" s="304">
        <f t="shared" si="15"/>
        <v>13537335</v>
      </c>
      <c r="C29" s="304">
        <f t="shared" si="12"/>
        <v>63810180.000000007</v>
      </c>
      <c r="D29" s="304">
        <f t="shared" si="14"/>
        <v>13725628.200000001</v>
      </c>
      <c r="E29" s="304">
        <f t="shared" si="2"/>
        <v>26860800</v>
      </c>
      <c r="F29" s="304">
        <f t="shared" si="10"/>
        <v>13145004</v>
      </c>
      <c r="G29" s="304">
        <f t="shared" si="11"/>
        <v>6099640</v>
      </c>
      <c r="H29" s="304">
        <f t="shared" si="13"/>
        <v>9913680</v>
      </c>
      <c r="I29" s="304">
        <f t="shared" si="16"/>
        <v>13286700</v>
      </c>
      <c r="J29" s="304">
        <f t="shared" si="7"/>
        <v>56784000</v>
      </c>
      <c r="K29" s="5">
        <f t="shared" si="9"/>
        <v>217162967.19999999</v>
      </c>
      <c r="L29" s="841"/>
    </row>
    <row r="30" spans="1:13" s="302" customFormat="1" ht="14.4" x14ac:dyDescent="0.3">
      <c r="A30" s="315">
        <f t="shared" si="8"/>
        <v>46228</v>
      </c>
      <c r="B30" s="304">
        <f t="shared" si="15"/>
        <v>13537335</v>
      </c>
      <c r="C30" s="304">
        <f t="shared" si="12"/>
        <v>63810180.000000007</v>
      </c>
      <c r="D30" s="304">
        <f t="shared" si="14"/>
        <v>13725628.200000001</v>
      </c>
      <c r="E30" s="304">
        <f t="shared" si="2"/>
        <v>26860800</v>
      </c>
      <c r="F30" s="304">
        <f t="shared" si="10"/>
        <v>13145004</v>
      </c>
      <c r="G30" s="304">
        <f t="shared" si="11"/>
        <v>6099640</v>
      </c>
      <c r="H30" s="304">
        <f t="shared" si="13"/>
        <v>9913680</v>
      </c>
      <c r="I30" s="304">
        <f t="shared" si="16"/>
        <v>13286700</v>
      </c>
      <c r="J30" s="304">
        <f t="shared" si="7"/>
        <v>56784000</v>
      </c>
      <c r="K30" s="5">
        <f t="shared" si="9"/>
        <v>217162967.19999999</v>
      </c>
      <c r="L30" s="841"/>
    </row>
    <row r="31" spans="1:13" ht="14.4" x14ac:dyDescent="0.3">
      <c r="A31" s="315">
        <f t="shared" si="8"/>
        <v>46229</v>
      </c>
      <c r="B31" s="304">
        <f t="shared" si="15"/>
        <v>13537335</v>
      </c>
      <c r="C31" s="304">
        <f t="shared" si="12"/>
        <v>63810180.000000007</v>
      </c>
      <c r="D31" s="304">
        <f t="shared" si="14"/>
        <v>13725628.200000001</v>
      </c>
      <c r="E31" s="304">
        <f t="shared" si="2"/>
        <v>26860800</v>
      </c>
      <c r="F31" s="304">
        <f t="shared" si="10"/>
        <v>13145004</v>
      </c>
      <c r="G31" s="304">
        <f t="shared" si="11"/>
        <v>6099640</v>
      </c>
      <c r="H31" s="304">
        <f t="shared" si="13"/>
        <v>9913680</v>
      </c>
      <c r="I31" s="304">
        <f t="shared" si="16"/>
        <v>13286700</v>
      </c>
      <c r="J31" s="304">
        <f t="shared" si="7"/>
        <v>56784000</v>
      </c>
      <c r="K31" s="5">
        <f t="shared" si="9"/>
        <v>217162967.19999999</v>
      </c>
      <c r="L31" s="841"/>
    </row>
    <row r="32" spans="1:13" ht="14.4" x14ac:dyDescent="0.3">
      <c r="A32" s="315">
        <f t="shared" si="8"/>
        <v>46230</v>
      </c>
      <c r="B32" s="304">
        <f t="shared" si="15"/>
        <v>13537335</v>
      </c>
      <c r="C32" s="304">
        <f t="shared" si="12"/>
        <v>63810180.000000007</v>
      </c>
      <c r="D32" s="304">
        <f t="shared" si="14"/>
        <v>13725628.200000001</v>
      </c>
      <c r="E32" s="304">
        <f t="shared" si="2"/>
        <v>26860800</v>
      </c>
      <c r="F32" s="304">
        <f t="shared" si="10"/>
        <v>13145004</v>
      </c>
      <c r="G32" s="304">
        <f t="shared" si="11"/>
        <v>6099640</v>
      </c>
      <c r="H32" s="304">
        <f t="shared" si="13"/>
        <v>9913680</v>
      </c>
      <c r="I32" s="304">
        <f t="shared" si="16"/>
        <v>13286700</v>
      </c>
      <c r="J32" s="304">
        <f t="shared" si="7"/>
        <v>56784000</v>
      </c>
      <c r="K32" s="5">
        <f t="shared" si="9"/>
        <v>217162967.19999999</v>
      </c>
      <c r="L32" s="841"/>
    </row>
    <row r="33" spans="1:13" ht="14.4" x14ac:dyDescent="0.3">
      <c r="A33" s="315">
        <f t="shared" si="8"/>
        <v>46231</v>
      </c>
      <c r="B33" s="304">
        <f t="shared" si="15"/>
        <v>13537335</v>
      </c>
      <c r="C33" s="304">
        <f t="shared" si="12"/>
        <v>63810180.000000007</v>
      </c>
      <c r="D33" s="304">
        <f t="shared" si="14"/>
        <v>13725628.200000001</v>
      </c>
      <c r="E33" s="304">
        <f t="shared" si="2"/>
        <v>26860800</v>
      </c>
      <c r="F33" s="304">
        <f t="shared" si="10"/>
        <v>13145004</v>
      </c>
      <c r="G33" s="304">
        <f t="shared" si="11"/>
        <v>6099640</v>
      </c>
      <c r="H33" s="304">
        <f t="shared" si="13"/>
        <v>9913680</v>
      </c>
      <c r="I33" s="304">
        <f t="shared" si="16"/>
        <v>13286700</v>
      </c>
      <c r="J33" s="304">
        <f t="shared" si="7"/>
        <v>56784000</v>
      </c>
      <c r="K33" s="5">
        <f t="shared" si="9"/>
        <v>217162967.19999999</v>
      </c>
      <c r="L33" s="841"/>
    </row>
    <row r="34" spans="1:13" ht="14.4" x14ac:dyDescent="0.3">
      <c r="A34" s="315">
        <f t="shared" si="8"/>
        <v>46232</v>
      </c>
      <c r="B34" s="304">
        <f t="shared" si="15"/>
        <v>13537335</v>
      </c>
      <c r="C34" s="304">
        <f t="shared" si="12"/>
        <v>63810180.000000007</v>
      </c>
      <c r="D34" s="304">
        <f t="shared" si="14"/>
        <v>13725628.200000001</v>
      </c>
      <c r="E34" s="304">
        <f t="shared" si="2"/>
        <v>26860800</v>
      </c>
      <c r="F34" s="304">
        <f t="shared" si="10"/>
        <v>13145004</v>
      </c>
      <c r="G34" s="304">
        <f t="shared" si="11"/>
        <v>6099640</v>
      </c>
      <c r="H34" s="304">
        <f t="shared" si="13"/>
        <v>9913680</v>
      </c>
      <c r="I34" s="304">
        <f t="shared" si="16"/>
        <v>13286700</v>
      </c>
      <c r="J34" s="304">
        <f>202800*280</f>
        <v>56784000</v>
      </c>
      <c r="K34" s="5">
        <f t="shared" si="9"/>
        <v>217162967.19999999</v>
      </c>
      <c r="L34" s="841"/>
    </row>
    <row r="35" spans="1:13" ht="14.4" x14ac:dyDescent="0.3">
      <c r="A35" s="315">
        <f t="shared" si="8"/>
        <v>46233</v>
      </c>
      <c r="B35" s="304">
        <f t="shared" si="15"/>
        <v>13537335</v>
      </c>
      <c r="C35" s="304">
        <f t="shared" si="12"/>
        <v>63810180.000000007</v>
      </c>
      <c r="D35" s="304">
        <f t="shared" si="14"/>
        <v>13725628.200000001</v>
      </c>
      <c r="E35" s="304">
        <f t="shared" si="2"/>
        <v>26860800</v>
      </c>
      <c r="F35" s="304">
        <f t="shared" si="10"/>
        <v>13145004</v>
      </c>
      <c r="G35" s="304">
        <f t="shared" si="11"/>
        <v>6099640</v>
      </c>
      <c r="H35" s="304">
        <f t="shared" si="13"/>
        <v>9913680</v>
      </c>
      <c r="I35" s="304">
        <f t="shared" si="16"/>
        <v>13286700</v>
      </c>
      <c r="J35" s="304">
        <f>202800*280</f>
        <v>56784000</v>
      </c>
      <c r="K35" s="5">
        <f t="shared" ref="K35" si="17">SUM(B35:J35)</f>
        <v>217162967.19999999</v>
      </c>
      <c r="L35" s="841"/>
    </row>
    <row r="36" spans="1:13" ht="14.4" x14ac:dyDescent="0.3">
      <c r="A36" s="315">
        <f t="shared" si="8"/>
        <v>46234</v>
      </c>
      <c r="B36" s="304">
        <f t="shared" si="15"/>
        <v>13537335</v>
      </c>
      <c r="C36" s="304">
        <f t="shared" si="12"/>
        <v>63810180.000000007</v>
      </c>
      <c r="D36" s="304">
        <f t="shared" si="14"/>
        <v>13725628.200000001</v>
      </c>
      <c r="E36" s="304">
        <f t="shared" si="2"/>
        <v>26860800</v>
      </c>
      <c r="F36" s="304">
        <f t="shared" si="10"/>
        <v>13145004</v>
      </c>
      <c r="G36" s="304">
        <f t="shared" si="11"/>
        <v>6099640</v>
      </c>
      <c r="H36" s="304">
        <f t="shared" si="13"/>
        <v>9913680</v>
      </c>
      <c r="I36" s="304">
        <f t="shared" si="16"/>
        <v>13286700</v>
      </c>
      <c r="J36" s="304">
        <f>202800*280</f>
        <v>56784000</v>
      </c>
      <c r="K36" s="5">
        <f t="shared" ref="K36" si="18">SUM(B36:J36)</f>
        <v>217162967.19999999</v>
      </c>
      <c r="L36" s="841"/>
    </row>
    <row r="37" spans="1:13" x14ac:dyDescent="0.3">
      <c r="A37" s="610"/>
      <c r="B37" s="405"/>
      <c r="C37" s="405"/>
      <c r="D37" s="405"/>
      <c r="E37" s="405"/>
      <c r="F37" s="405"/>
      <c r="G37" s="405"/>
      <c r="H37" s="405"/>
      <c r="I37" s="405"/>
      <c r="J37" s="405"/>
      <c r="K37" s="492"/>
      <c r="L37" s="325"/>
      <c r="M37" s="325"/>
    </row>
    <row r="38" spans="1:13" x14ac:dyDescent="0.3">
      <c r="A38" s="319" t="s">
        <v>56</v>
      </c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M38" s="325"/>
    </row>
    <row r="39" spans="1:13" s="75" customFormat="1" ht="41.4" x14ac:dyDescent="0.25">
      <c r="A39" s="51" t="s">
        <v>2</v>
      </c>
      <c r="B39" s="46" t="str">
        <f t="shared" ref="B39:H39" si="19">B5</f>
        <v>120FATR00018403
C.D 17.03.2026, M.D 13.09.2026)</v>
      </c>
      <c r="C39" s="46" t="str">
        <f t="shared" si="19"/>
        <v>120FATR00018502
C.D 04.05.2026, M.D 31.10.2026)</v>
      </c>
      <c r="D39" s="46" t="str">
        <f t="shared" si="19"/>
        <v>120FATR00018542
C.D 15.05.2026, M.D 11.11.2026)</v>
      </c>
      <c r="E39" s="46" t="str">
        <f t="shared" si="19"/>
        <v>120FATR00018586
C.D 03.06.2026, M.D 30.11.2026)</v>
      </c>
      <c r="F39" s="46" t="str">
        <f t="shared" si="19"/>
        <v>120FATR00018588
C.D 03.06.2026, M.D 30.11.2026)</v>
      </c>
      <c r="G39" s="46" t="str">
        <f t="shared" si="19"/>
        <v>120FATR00018587
C.D 03.06.2026, M.D 30.11.2026)</v>
      </c>
      <c r="H39" s="46" t="str">
        <f t="shared" si="19"/>
        <v>120FATR00018618
C.D 11.06.2026, M.D 08.12.2026)</v>
      </c>
      <c r="I39" s="46" t="str">
        <f>I5</f>
        <v>120FATR00018659
C.D 22.06.2026, M.D 19.12.2026)</v>
      </c>
      <c r="J39" s="46" t="str">
        <f>J5</f>
        <v>120FATR00018672
C.D 29.06.2026, M.D 26.12.2026)</v>
      </c>
      <c r="K39" s="46" t="s">
        <v>0</v>
      </c>
    </row>
    <row r="40" spans="1:13" s="91" customFormat="1" ht="27.6" x14ac:dyDescent="0.25">
      <c r="A40" s="374" t="s">
        <v>321</v>
      </c>
      <c r="B40" s="358">
        <f>11.15%+1%</f>
        <v>0.1215</v>
      </c>
      <c r="C40" s="358">
        <f>11.9%+1%</f>
        <v>0.129</v>
      </c>
      <c r="D40" s="358">
        <f>11.81%+1%</f>
        <v>0.12810000000000002</v>
      </c>
      <c r="E40" s="358">
        <f>12.01%+1%</f>
        <v>0.13009999999999999</v>
      </c>
      <c r="F40" s="358">
        <f>12.01%+1%</f>
        <v>0.13009999999999999</v>
      </c>
      <c r="G40" s="358">
        <f>12.01%+1%</f>
        <v>0.13009999999999999</v>
      </c>
      <c r="H40" s="358">
        <f>12.09%+1%</f>
        <v>0.13089999999999999</v>
      </c>
      <c r="I40" s="358">
        <f>11.94%+1%</f>
        <v>0.12939999999999999</v>
      </c>
      <c r="J40" s="358">
        <f>11.93%+1%</f>
        <v>0.1293</v>
      </c>
      <c r="K40" s="90"/>
    </row>
    <row r="41" spans="1:13" x14ac:dyDescent="0.3">
      <c r="A41" s="6">
        <f t="shared" ref="A41:A70" si="20">A6</f>
        <v>46204</v>
      </c>
      <c r="B41" s="5">
        <f t="shared" ref="B41:J41" si="21">IF(B6&lt;0,0,B6*B$40/365)</f>
        <v>4506.2635684931502</v>
      </c>
      <c r="C41" s="5">
        <f t="shared" si="21"/>
        <v>22552.091013698635</v>
      </c>
      <c r="D41" s="5">
        <f t="shared" si="21"/>
        <v>4817.131431287673</v>
      </c>
      <c r="E41" s="5">
        <f t="shared" si="21"/>
        <v>9574.2193972602727</v>
      </c>
      <c r="F41" s="5">
        <f t="shared" si="21"/>
        <v>4685.3836175342458</v>
      </c>
      <c r="G41" s="5">
        <f t="shared" si="21"/>
        <v>2174.1456547945204</v>
      </c>
      <c r="H41" s="5">
        <f t="shared" si="21"/>
        <v>3555.3444164383559</v>
      </c>
      <c r="I41" s="5">
        <f t="shared" si="21"/>
        <v>4710.4081643835607</v>
      </c>
      <c r="J41" s="5">
        <f t="shared" si="21"/>
        <v>20115.537534246574</v>
      </c>
      <c r="K41" s="5">
        <f t="shared" ref="K41:K72" si="22">SUM(B41:J41)</f>
        <v>76690.524798136976</v>
      </c>
    </row>
    <row r="42" spans="1:13" x14ac:dyDescent="0.3">
      <c r="A42" s="6">
        <f t="shared" si="20"/>
        <v>46205</v>
      </c>
      <c r="B42" s="5">
        <f t="shared" ref="B42:J42" si="23">IF(B7&lt;0,0,B7*B$40/365)</f>
        <v>4506.2635684931502</v>
      </c>
      <c r="C42" s="5">
        <f t="shared" si="23"/>
        <v>22552.091013698635</v>
      </c>
      <c r="D42" s="5">
        <f t="shared" si="23"/>
        <v>4817.131431287673</v>
      </c>
      <c r="E42" s="5">
        <f t="shared" si="23"/>
        <v>9574.2193972602727</v>
      </c>
      <c r="F42" s="5">
        <f t="shared" si="23"/>
        <v>4685.3836175342458</v>
      </c>
      <c r="G42" s="5">
        <f t="shared" si="23"/>
        <v>2174.1456547945204</v>
      </c>
      <c r="H42" s="5">
        <f t="shared" si="23"/>
        <v>3555.3444164383559</v>
      </c>
      <c r="I42" s="5">
        <f t="shared" si="23"/>
        <v>4710.4081643835607</v>
      </c>
      <c r="J42" s="5">
        <f t="shared" si="23"/>
        <v>20115.537534246574</v>
      </c>
      <c r="K42" s="5">
        <f t="shared" si="22"/>
        <v>76690.524798136976</v>
      </c>
    </row>
    <row r="43" spans="1:13" x14ac:dyDescent="0.3">
      <c r="A43" s="6">
        <f t="shared" si="20"/>
        <v>46206</v>
      </c>
      <c r="B43" s="5">
        <f t="shared" ref="B43:J43" si="24">IF(B8&lt;0,0,B8*B$40/365)</f>
        <v>4506.2635684931502</v>
      </c>
      <c r="C43" s="5">
        <f t="shared" si="24"/>
        <v>22552.091013698635</v>
      </c>
      <c r="D43" s="5">
        <f t="shared" si="24"/>
        <v>4817.131431287673</v>
      </c>
      <c r="E43" s="5">
        <f t="shared" si="24"/>
        <v>9574.2193972602727</v>
      </c>
      <c r="F43" s="5">
        <f t="shared" si="24"/>
        <v>4685.3836175342458</v>
      </c>
      <c r="G43" s="5">
        <f t="shared" si="24"/>
        <v>2174.1456547945204</v>
      </c>
      <c r="H43" s="5">
        <f t="shared" si="24"/>
        <v>3555.3444164383559</v>
      </c>
      <c r="I43" s="5">
        <f t="shared" si="24"/>
        <v>4710.4081643835607</v>
      </c>
      <c r="J43" s="5">
        <f t="shared" si="24"/>
        <v>20115.537534246574</v>
      </c>
      <c r="K43" s="5">
        <f t="shared" si="22"/>
        <v>76690.524798136976</v>
      </c>
    </row>
    <row r="44" spans="1:13" x14ac:dyDescent="0.3">
      <c r="A44" s="6">
        <f t="shared" si="20"/>
        <v>46207</v>
      </c>
      <c r="B44" s="5">
        <f t="shared" ref="B44:J44" si="25">IF(B9&lt;0,0,B9*B$40/365)</f>
        <v>4506.2635684931502</v>
      </c>
      <c r="C44" s="5">
        <f t="shared" si="25"/>
        <v>22552.091013698635</v>
      </c>
      <c r="D44" s="5">
        <f t="shared" si="25"/>
        <v>4817.131431287673</v>
      </c>
      <c r="E44" s="5">
        <f t="shared" si="25"/>
        <v>9574.2193972602727</v>
      </c>
      <c r="F44" s="5">
        <f t="shared" si="25"/>
        <v>4685.3836175342458</v>
      </c>
      <c r="G44" s="5">
        <f t="shared" si="25"/>
        <v>2174.1456547945204</v>
      </c>
      <c r="H44" s="5">
        <f t="shared" si="25"/>
        <v>3555.3444164383559</v>
      </c>
      <c r="I44" s="5">
        <f t="shared" si="25"/>
        <v>4710.4081643835607</v>
      </c>
      <c r="J44" s="5">
        <f t="shared" si="25"/>
        <v>20115.537534246574</v>
      </c>
      <c r="K44" s="5">
        <f t="shared" si="22"/>
        <v>76690.524798136976</v>
      </c>
    </row>
    <row r="45" spans="1:13" x14ac:dyDescent="0.3">
      <c r="A45" s="6">
        <f t="shared" si="20"/>
        <v>46208</v>
      </c>
      <c r="B45" s="5">
        <f t="shared" ref="B45:J45" si="26">IF(B10&lt;0,0,B10*B$40/365)</f>
        <v>4506.2635684931502</v>
      </c>
      <c r="C45" s="5">
        <f t="shared" si="26"/>
        <v>22552.091013698635</v>
      </c>
      <c r="D45" s="5">
        <f t="shared" si="26"/>
        <v>4817.131431287673</v>
      </c>
      <c r="E45" s="5">
        <f t="shared" si="26"/>
        <v>9574.2193972602727</v>
      </c>
      <c r="F45" s="5">
        <f t="shared" si="26"/>
        <v>4685.3836175342458</v>
      </c>
      <c r="G45" s="5">
        <f t="shared" si="26"/>
        <v>2174.1456547945204</v>
      </c>
      <c r="H45" s="5">
        <f t="shared" si="26"/>
        <v>3555.3444164383559</v>
      </c>
      <c r="I45" s="5">
        <f t="shared" si="26"/>
        <v>4710.4081643835607</v>
      </c>
      <c r="J45" s="5">
        <f t="shared" si="26"/>
        <v>20115.537534246574</v>
      </c>
      <c r="K45" s="5">
        <f t="shared" si="22"/>
        <v>76690.524798136976</v>
      </c>
    </row>
    <row r="46" spans="1:13" x14ac:dyDescent="0.3">
      <c r="A46" s="6">
        <f t="shared" si="20"/>
        <v>46209</v>
      </c>
      <c r="B46" s="5">
        <f t="shared" ref="B46:J46" si="27">IF(B11&lt;0,0,B11*B$40/365)</f>
        <v>4506.2635684931502</v>
      </c>
      <c r="C46" s="5">
        <f t="shared" si="27"/>
        <v>22552.091013698635</v>
      </c>
      <c r="D46" s="5">
        <f t="shared" si="27"/>
        <v>4817.131431287673</v>
      </c>
      <c r="E46" s="5">
        <f t="shared" si="27"/>
        <v>9574.2193972602727</v>
      </c>
      <c r="F46" s="5">
        <f t="shared" si="27"/>
        <v>4685.3836175342458</v>
      </c>
      <c r="G46" s="5">
        <f t="shared" si="27"/>
        <v>2174.1456547945204</v>
      </c>
      <c r="H46" s="5">
        <f t="shared" si="27"/>
        <v>3555.3444164383559</v>
      </c>
      <c r="I46" s="5">
        <f t="shared" si="27"/>
        <v>4710.4081643835607</v>
      </c>
      <c r="J46" s="5">
        <f t="shared" si="27"/>
        <v>20115.537534246574</v>
      </c>
      <c r="K46" s="5">
        <f t="shared" si="22"/>
        <v>76690.524798136976</v>
      </c>
    </row>
    <row r="47" spans="1:13" x14ac:dyDescent="0.3">
      <c r="A47" s="6">
        <f t="shared" si="20"/>
        <v>46210</v>
      </c>
      <c r="B47" s="5">
        <f t="shared" ref="B47:J47" si="28">IF(B12&lt;0,0,B12*B$40/365)</f>
        <v>4506.2635684931502</v>
      </c>
      <c r="C47" s="5">
        <f t="shared" si="28"/>
        <v>22552.091013698635</v>
      </c>
      <c r="D47" s="5">
        <f t="shared" si="28"/>
        <v>4817.131431287673</v>
      </c>
      <c r="E47" s="5">
        <f t="shared" si="28"/>
        <v>9574.2193972602727</v>
      </c>
      <c r="F47" s="5">
        <f t="shared" si="28"/>
        <v>4685.3836175342458</v>
      </c>
      <c r="G47" s="5">
        <f t="shared" si="28"/>
        <v>2174.1456547945204</v>
      </c>
      <c r="H47" s="5">
        <f t="shared" si="28"/>
        <v>3555.3444164383559</v>
      </c>
      <c r="I47" s="5">
        <f t="shared" si="28"/>
        <v>4710.4081643835607</v>
      </c>
      <c r="J47" s="5">
        <f t="shared" si="28"/>
        <v>20115.537534246574</v>
      </c>
      <c r="K47" s="5">
        <f t="shared" si="22"/>
        <v>76690.524798136976</v>
      </c>
    </row>
    <row r="48" spans="1:13" x14ac:dyDescent="0.3">
      <c r="A48" s="6">
        <f t="shared" si="20"/>
        <v>46211</v>
      </c>
      <c r="B48" s="5">
        <f t="shared" ref="B48:J48" si="29">IF(B13&lt;0,0,B13*B$40/365)</f>
        <v>4506.2635684931502</v>
      </c>
      <c r="C48" s="5">
        <f t="shared" si="29"/>
        <v>22552.091013698635</v>
      </c>
      <c r="D48" s="5">
        <f t="shared" si="29"/>
        <v>4817.131431287673</v>
      </c>
      <c r="E48" s="5">
        <f t="shared" si="29"/>
        <v>9574.2193972602727</v>
      </c>
      <c r="F48" s="5">
        <f t="shared" si="29"/>
        <v>4685.3836175342458</v>
      </c>
      <c r="G48" s="5">
        <f t="shared" si="29"/>
        <v>2174.1456547945204</v>
      </c>
      <c r="H48" s="5">
        <f t="shared" si="29"/>
        <v>3555.3444164383559</v>
      </c>
      <c r="I48" s="5">
        <f t="shared" si="29"/>
        <v>4710.4081643835607</v>
      </c>
      <c r="J48" s="5">
        <f t="shared" si="29"/>
        <v>20115.537534246574</v>
      </c>
      <c r="K48" s="5">
        <f t="shared" si="22"/>
        <v>76690.524798136976</v>
      </c>
    </row>
    <row r="49" spans="1:11" x14ac:dyDescent="0.3">
      <c r="A49" s="6">
        <f t="shared" si="20"/>
        <v>46212</v>
      </c>
      <c r="B49" s="5">
        <f t="shared" ref="B49:J49" si="30">IF(B14&lt;0,0,B14*B$40/365)</f>
        <v>4506.2635684931502</v>
      </c>
      <c r="C49" s="5">
        <f t="shared" si="30"/>
        <v>22552.091013698635</v>
      </c>
      <c r="D49" s="5">
        <f t="shared" si="30"/>
        <v>4817.131431287673</v>
      </c>
      <c r="E49" s="5">
        <f t="shared" si="30"/>
        <v>9574.2193972602727</v>
      </c>
      <c r="F49" s="5">
        <f t="shared" si="30"/>
        <v>4685.3836175342458</v>
      </c>
      <c r="G49" s="5">
        <f t="shared" si="30"/>
        <v>2174.1456547945204</v>
      </c>
      <c r="H49" s="5">
        <f t="shared" si="30"/>
        <v>3555.3444164383559</v>
      </c>
      <c r="I49" s="5">
        <f t="shared" si="30"/>
        <v>4710.4081643835607</v>
      </c>
      <c r="J49" s="5">
        <f t="shared" si="30"/>
        <v>20115.537534246574</v>
      </c>
      <c r="K49" s="5">
        <f t="shared" si="22"/>
        <v>76690.524798136976</v>
      </c>
    </row>
    <row r="50" spans="1:11" x14ac:dyDescent="0.3">
      <c r="A50" s="6">
        <f t="shared" si="20"/>
        <v>46213</v>
      </c>
      <c r="B50" s="5">
        <f t="shared" ref="B50:J50" si="31">IF(B15&lt;0,0,B15*B$40/365)</f>
        <v>4506.2635684931502</v>
      </c>
      <c r="C50" s="5">
        <f t="shared" si="31"/>
        <v>22552.091013698635</v>
      </c>
      <c r="D50" s="5">
        <f t="shared" si="31"/>
        <v>4817.131431287673</v>
      </c>
      <c r="E50" s="5">
        <f t="shared" si="31"/>
        <v>9574.2193972602727</v>
      </c>
      <c r="F50" s="5">
        <f t="shared" si="31"/>
        <v>4685.3836175342458</v>
      </c>
      <c r="G50" s="5">
        <f t="shared" si="31"/>
        <v>2174.1456547945204</v>
      </c>
      <c r="H50" s="5">
        <f t="shared" si="31"/>
        <v>3555.3444164383559</v>
      </c>
      <c r="I50" s="5">
        <f t="shared" si="31"/>
        <v>4710.4081643835607</v>
      </c>
      <c r="J50" s="5">
        <f t="shared" si="31"/>
        <v>20115.537534246574</v>
      </c>
      <c r="K50" s="5">
        <f t="shared" si="22"/>
        <v>76690.524798136976</v>
      </c>
    </row>
    <row r="51" spans="1:11" x14ac:dyDescent="0.3">
      <c r="A51" s="6">
        <f t="shared" si="20"/>
        <v>46214</v>
      </c>
      <c r="B51" s="5">
        <f t="shared" ref="B51:J51" si="32">IF(B16&lt;0,0,B16*B$40/365)</f>
        <v>4506.2635684931502</v>
      </c>
      <c r="C51" s="5">
        <f t="shared" si="32"/>
        <v>22552.091013698635</v>
      </c>
      <c r="D51" s="5">
        <f t="shared" si="32"/>
        <v>4817.131431287673</v>
      </c>
      <c r="E51" s="5">
        <f t="shared" si="32"/>
        <v>9574.2193972602727</v>
      </c>
      <c r="F51" s="5">
        <f t="shared" si="32"/>
        <v>4685.3836175342458</v>
      </c>
      <c r="G51" s="5">
        <f t="shared" si="32"/>
        <v>2174.1456547945204</v>
      </c>
      <c r="H51" s="5">
        <f t="shared" si="32"/>
        <v>3555.3444164383559</v>
      </c>
      <c r="I51" s="5">
        <f t="shared" si="32"/>
        <v>4710.4081643835607</v>
      </c>
      <c r="J51" s="5">
        <f t="shared" si="32"/>
        <v>20115.537534246574</v>
      </c>
      <c r="K51" s="5">
        <f t="shared" si="22"/>
        <v>76690.524798136976</v>
      </c>
    </row>
    <row r="52" spans="1:11" x14ac:dyDescent="0.3">
      <c r="A52" s="6">
        <f t="shared" si="20"/>
        <v>46215</v>
      </c>
      <c r="B52" s="5">
        <f t="shared" ref="B52:J52" si="33">IF(B17&lt;0,0,B17*B$40/365)</f>
        <v>4506.2635684931502</v>
      </c>
      <c r="C52" s="5">
        <f t="shared" si="33"/>
        <v>22552.091013698635</v>
      </c>
      <c r="D52" s="5">
        <f t="shared" si="33"/>
        <v>4817.131431287673</v>
      </c>
      <c r="E52" s="5">
        <f t="shared" si="33"/>
        <v>9574.2193972602727</v>
      </c>
      <c r="F52" s="5">
        <f t="shared" si="33"/>
        <v>4685.3836175342458</v>
      </c>
      <c r="G52" s="5">
        <f t="shared" si="33"/>
        <v>2174.1456547945204</v>
      </c>
      <c r="H52" s="5">
        <f t="shared" si="33"/>
        <v>3555.3444164383559</v>
      </c>
      <c r="I52" s="5">
        <f t="shared" si="33"/>
        <v>4710.4081643835607</v>
      </c>
      <c r="J52" s="5">
        <f t="shared" si="33"/>
        <v>20115.537534246574</v>
      </c>
      <c r="K52" s="5">
        <f t="shared" si="22"/>
        <v>76690.524798136976</v>
      </c>
    </row>
    <row r="53" spans="1:11" x14ac:dyDescent="0.3">
      <c r="A53" s="6">
        <f t="shared" si="20"/>
        <v>46216</v>
      </c>
      <c r="B53" s="5">
        <f t="shared" ref="B53:J53" si="34">IF(B18&lt;0,0,B18*B$40/365)</f>
        <v>4506.2635684931502</v>
      </c>
      <c r="C53" s="5">
        <f t="shared" si="34"/>
        <v>22552.091013698635</v>
      </c>
      <c r="D53" s="5">
        <f t="shared" si="34"/>
        <v>4817.131431287673</v>
      </c>
      <c r="E53" s="5">
        <f t="shared" si="34"/>
        <v>9574.2193972602727</v>
      </c>
      <c r="F53" s="5">
        <f t="shared" si="34"/>
        <v>4685.3836175342458</v>
      </c>
      <c r="G53" s="5">
        <f t="shared" si="34"/>
        <v>2174.1456547945204</v>
      </c>
      <c r="H53" s="5">
        <f t="shared" si="34"/>
        <v>3555.3444164383559</v>
      </c>
      <c r="I53" s="5">
        <f t="shared" si="34"/>
        <v>4710.4081643835607</v>
      </c>
      <c r="J53" s="5">
        <f t="shared" si="34"/>
        <v>20115.537534246574</v>
      </c>
      <c r="K53" s="5">
        <f t="shared" si="22"/>
        <v>76690.524798136976</v>
      </c>
    </row>
    <row r="54" spans="1:11" x14ac:dyDescent="0.3">
      <c r="A54" s="6">
        <f t="shared" si="20"/>
        <v>46217</v>
      </c>
      <c r="B54" s="5">
        <f t="shared" ref="B54:J54" si="35">IF(B19&lt;0,0,B19*B$40/365)</f>
        <v>4506.2635684931502</v>
      </c>
      <c r="C54" s="5">
        <f t="shared" si="35"/>
        <v>22552.091013698635</v>
      </c>
      <c r="D54" s="5">
        <f t="shared" si="35"/>
        <v>4817.131431287673</v>
      </c>
      <c r="E54" s="5">
        <f t="shared" si="35"/>
        <v>9574.2193972602727</v>
      </c>
      <c r="F54" s="5">
        <f t="shared" si="35"/>
        <v>4685.3836175342458</v>
      </c>
      <c r="G54" s="5">
        <f t="shared" si="35"/>
        <v>2174.1456547945204</v>
      </c>
      <c r="H54" s="5">
        <f t="shared" si="35"/>
        <v>3555.3444164383559</v>
      </c>
      <c r="I54" s="5">
        <f t="shared" si="35"/>
        <v>4710.4081643835607</v>
      </c>
      <c r="J54" s="5">
        <f t="shared" si="35"/>
        <v>20115.537534246574</v>
      </c>
      <c r="K54" s="5">
        <f t="shared" si="22"/>
        <v>76690.524798136976</v>
      </c>
    </row>
    <row r="55" spans="1:11" x14ac:dyDescent="0.3">
      <c r="A55" s="6">
        <f t="shared" si="20"/>
        <v>46218</v>
      </c>
      <c r="B55" s="5">
        <f t="shared" ref="B55:J55" si="36">IF(B20&lt;0,0,B20*B$40/365)</f>
        <v>4506.2635684931502</v>
      </c>
      <c r="C55" s="5">
        <f t="shared" si="36"/>
        <v>22552.091013698635</v>
      </c>
      <c r="D55" s="5">
        <f t="shared" si="36"/>
        <v>4817.131431287673</v>
      </c>
      <c r="E55" s="5">
        <f t="shared" si="36"/>
        <v>9574.2193972602727</v>
      </c>
      <c r="F55" s="5">
        <f t="shared" si="36"/>
        <v>4685.3836175342458</v>
      </c>
      <c r="G55" s="5">
        <f t="shared" si="36"/>
        <v>2174.1456547945204</v>
      </c>
      <c r="H55" s="5">
        <f t="shared" si="36"/>
        <v>3555.3444164383559</v>
      </c>
      <c r="I55" s="5">
        <f t="shared" si="36"/>
        <v>4710.4081643835607</v>
      </c>
      <c r="J55" s="5">
        <f t="shared" si="36"/>
        <v>20115.537534246574</v>
      </c>
      <c r="K55" s="5">
        <f t="shared" si="22"/>
        <v>76690.524798136976</v>
      </c>
    </row>
    <row r="56" spans="1:11" x14ac:dyDescent="0.3">
      <c r="A56" s="6">
        <f t="shared" si="20"/>
        <v>46219</v>
      </c>
      <c r="B56" s="5">
        <f t="shared" ref="B56:J56" si="37">IF(B21&lt;0,0,B21*B$40/365)</f>
        <v>4506.2635684931502</v>
      </c>
      <c r="C56" s="5">
        <f t="shared" si="37"/>
        <v>22552.091013698635</v>
      </c>
      <c r="D56" s="5">
        <f t="shared" si="37"/>
        <v>4817.131431287673</v>
      </c>
      <c r="E56" s="5">
        <f t="shared" si="37"/>
        <v>9574.2193972602727</v>
      </c>
      <c r="F56" s="5">
        <f t="shared" si="37"/>
        <v>4685.3836175342458</v>
      </c>
      <c r="G56" s="5">
        <f t="shared" si="37"/>
        <v>2174.1456547945204</v>
      </c>
      <c r="H56" s="5">
        <f t="shared" si="37"/>
        <v>3555.3444164383559</v>
      </c>
      <c r="I56" s="5">
        <f t="shared" si="37"/>
        <v>4710.4081643835607</v>
      </c>
      <c r="J56" s="5">
        <f t="shared" si="37"/>
        <v>20115.537534246574</v>
      </c>
      <c r="K56" s="5">
        <f t="shared" si="22"/>
        <v>76690.524798136976</v>
      </c>
    </row>
    <row r="57" spans="1:11" x14ac:dyDescent="0.3">
      <c r="A57" s="6">
        <f t="shared" si="20"/>
        <v>46220</v>
      </c>
      <c r="B57" s="5">
        <f t="shared" ref="B57:J57" si="38">IF(B22&lt;0,0,B22*B$40/365)</f>
        <v>4506.2635684931502</v>
      </c>
      <c r="C57" s="5">
        <f t="shared" si="38"/>
        <v>22552.091013698635</v>
      </c>
      <c r="D57" s="5">
        <f t="shared" si="38"/>
        <v>4817.131431287673</v>
      </c>
      <c r="E57" s="5">
        <f t="shared" si="38"/>
        <v>9574.2193972602727</v>
      </c>
      <c r="F57" s="5">
        <f t="shared" si="38"/>
        <v>4685.3836175342458</v>
      </c>
      <c r="G57" s="5">
        <f t="shared" si="38"/>
        <v>2174.1456547945204</v>
      </c>
      <c r="H57" s="5">
        <f t="shared" si="38"/>
        <v>3555.3444164383559</v>
      </c>
      <c r="I57" s="5">
        <f t="shared" si="38"/>
        <v>4710.4081643835607</v>
      </c>
      <c r="J57" s="5">
        <f t="shared" si="38"/>
        <v>20115.537534246574</v>
      </c>
      <c r="K57" s="5">
        <f t="shared" si="22"/>
        <v>76690.524798136976</v>
      </c>
    </row>
    <row r="58" spans="1:11" x14ac:dyDescent="0.3">
      <c r="A58" s="6">
        <f t="shared" si="20"/>
        <v>46221</v>
      </c>
      <c r="B58" s="5">
        <f t="shared" ref="B58:J58" si="39">IF(B23&lt;0,0,B23*B$40/365)</f>
        <v>4506.2635684931502</v>
      </c>
      <c r="C58" s="5">
        <f t="shared" si="39"/>
        <v>22552.091013698635</v>
      </c>
      <c r="D58" s="5">
        <f t="shared" si="39"/>
        <v>4817.131431287673</v>
      </c>
      <c r="E58" s="5">
        <f t="shared" si="39"/>
        <v>9574.2193972602727</v>
      </c>
      <c r="F58" s="5">
        <f t="shared" si="39"/>
        <v>4685.3836175342458</v>
      </c>
      <c r="G58" s="5">
        <f t="shared" si="39"/>
        <v>2174.1456547945204</v>
      </c>
      <c r="H58" s="5">
        <f t="shared" si="39"/>
        <v>3555.3444164383559</v>
      </c>
      <c r="I58" s="5">
        <f t="shared" si="39"/>
        <v>4710.4081643835607</v>
      </c>
      <c r="J58" s="5">
        <f t="shared" si="39"/>
        <v>20115.537534246574</v>
      </c>
      <c r="K58" s="5">
        <f t="shared" si="22"/>
        <v>76690.524798136976</v>
      </c>
    </row>
    <row r="59" spans="1:11" x14ac:dyDescent="0.3">
      <c r="A59" s="6">
        <f t="shared" si="20"/>
        <v>46222</v>
      </c>
      <c r="B59" s="5">
        <f t="shared" ref="B59:J59" si="40">IF(B24&lt;0,0,B24*B$40/365)</f>
        <v>4506.2635684931502</v>
      </c>
      <c r="C59" s="5">
        <f t="shared" si="40"/>
        <v>22552.091013698635</v>
      </c>
      <c r="D59" s="5">
        <f t="shared" si="40"/>
        <v>4817.131431287673</v>
      </c>
      <c r="E59" s="5">
        <f t="shared" si="40"/>
        <v>9574.2193972602727</v>
      </c>
      <c r="F59" s="5">
        <f t="shared" si="40"/>
        <v>4685.3836175342458</v>
      </c>
      <c r="G59" s="5">
        <f t="shared" si="40"/>
        <v>2174.1456547945204</v>
      </c>
      <c r="H59" s="5">
        <f t="shared" si="40"/>
        <v>3555.3444164383559</v>
      </c>
      <c r="I59" s="5">
        <f t="shared" si="40"/>
        <v>4710.4081643835607</v>
      </c>
      <c r="J59" s="5">
        <f t="shared" si="40"/>
        <v>20115.537534246574</v>
      </c>
      <c r="K59" s="5">
        <f t="shared" si="22"/>
        <v>76690.524798136976</v>
      </c>
    </row>
    <row r="60" spans="1:11" x14ac:dyDescent="0.3">
      <c r="A60" s="315">
        <f t="shared" si="20"/>
        <v>46223</v>
      </c>
      <c r="B60" s="5">
        <f t="shared" ref="B60:J60" si="41">IF(B25&lt;0,0,B25*B$40/365)</f>
        <v>4506.2635684931502</v>
      </c>
      <c r="C60" s="5">
        <f t="shared" si="41"/>
        <v>22552.091013698635</v>
      </c>
      <c r="D60" s="5">
        <f t="shared" si="41"/>
        <v>4817.131431287673</v>
      </c>
      <c r="E60" s="5">
        <f t="shared" si="41"/>
        <v>9574.2193972602727</v>
      </c>
      <c r="F60" s="5">
        <f t="shared" si="41"/>
        <v>4685.3836175342458</v>
      </c>
      <c r="G60" s="5">
        <f t="shared" si="41"/>
        <v>2174.1456547945204</v>
      </c>
      <c r="H60" s="5">
        <f t="shared" si="41"/>
        <v>3555.3444164383559</v>
      </c>
      <c r="I60" s="5">
        <f t="shared" si="41"/>
        <v>4710.4081643835607</v>
      </c>
      <c r="J60" s="5">
        <f t="shared" si="41"/>
        <v>20115.537534246574</v>
      </c>
      <c r="K60" s="5">
        <f t="shared" si="22"/>
        <v>76690.524798136976</v>
      </c>
    </row>
    <row r="61" spans="1:11" x14ac:dyDescent="0.3">
      <c r="A61" s="315">
        <f t="shared" si="20"/>
        <v>46224</v>
      </c>
      <c r="B61" s="5">
        <f t="shared" ref="B61:J61" si="42">IF(B26&lt;0,0,B26*B$40/365)</f>
        <v>4506.2635684931502</v>
      </c>
      <c r="C61" s="5">
        <f t="shared" si="42"/>
        <v>22552.091013698635</v>
      </c>
      <c r="D61" s="5">
        <f t="shared" si="42"/>
        <v>4817.131431287673</v>
      </c>
      <c r="E61" s="5">
        <f t="shared" si="42"/>
        <v>9574.2193972602727</v>
      </c>
      <c r="F61" s="5">
        <f t="shared" si="42"/>
        <v>4685.3836175342458</v>
      </c>
      <c r="G61" s="5">
        <f t="shared" si="42"/>
        <v>2174.1456547945204</v>
      </c>
      <c r="H61" s="5">
        <f t="shared" si="42"/>
        <v>3555.3444164383559</v>
      </c>
      <c r="I61" s="5">
        <f t="shared" si="42"/>
        <v>4710.4081643835607</v>
      </c>
      <c r="J61" s="5">
        <f t="shared" si="42"/>
        <v>20115.537534246574</v>
      </c>
      <c r="K61" s="5">
        <f t="shared" si="22"/>
        <v>76690.524798136976</v>
      </c>
    </row>
    <row r="62" spans="1:11" x14ac:dyDescent="0.3">
      <c r="A62" s="315">
        <f t="shared" si="20"/>
        <v>46225</v>
      </c>
      <c r="B62" s="5">
        <f t="shared" ref="B62:J62" si="43">IF(B27&lt;0,0,B27*B$40/365)</f>
        <v>4506.2635684931502</v>
      </c>
      <c r="C62" s="5">
        <f t="shared" si="43"/>
        <v>22552.091013698635</v>
      </c>
      <c r="D62" s="5">
        <f t="shared" si="43"/>
        <v>4817.131431287673</v>
      </c>
      <c r="E62" s="5">
        <f t="shared" si="43"/>
        <v>9574.2193972602727</v>
      </c>
      <c r="F62" s="5">
        <f t="shared" si="43"/>
        <v>4685.3836175342458</v>
      </c>
      <c r="G62" s="5">
        <f t="shared" si="43"/>
        <v>2174.1456547945204</v>
      </c>
      <c r="H62" s="5">
        <f t="shared" si="43"/>
        <v>3555.3444164383559</v>
      </c>
      <c r="I62" s="5">
        <f t="shared" si="43"/>
        <v>4710.4081643835607</v>
      </c>
      <c r="J62" s="5">
        <f t="shared" si="43"/>
        <v>20115.537534246574</v>
      </c>
      <c r="K62" s="5">
        <f t="shared" si="22"/>
        <v>76690.524798136976</v>
      </c>
    </row>
    <row r="63" spans="1:11" x14ac:dyDescent="0.3">
      <c r="A63" s="315">
        <f t="shared" si="20"/>
        <v>46226</v>
      </c>
      <c r="B63" s="5">
        <f t="shared" ref="B63:J63" si="44">IF(B28&lt;0,0,B28*B$40/365)</f>
        <v>4506.2635684931502</v>
      </c>
      <c r="C63" s="5">
        <f t="shared" si="44"/>
        <v>22552.091013698635</v>
      </c>
      <c r="D63" s="5">
        <f t="shared" si="44"/>
        <v>4817.131431287673</v>
      </c>
      <c r="E63" s="5">
        <f t="shared" si="44"/>
        <v>9574.2193972602727</v>
      </c>
      <c r="F63" s="5">
        <f t="shared" si="44"/>
        <v>4685.3836175342458</v>
      </c>
      <c r="G63" s="5">
        <f t="shared" si="44"/>
        <v>2174.1456547945204</v>
      </c>
      <c r="H63" s="5">
        <f t="shared" si="44"/>
        <v>3555.3444164383559</v>
      </c>
      <c r="I63" s="5">
        <f t="shared" si="44"/>
        <v>4710.4081643835607</v>
      </c>
      <c r="J63" s="5">
        <f t="shared" si="44"/>
        <v>20115.537534246574</v>
      </c>
      <c r="K63" s="5">
        <f t="shared" si="22"/>
        <v>76690.524798136976</v>
      </c>
    </row>
    <row r="64" spans="1:11" x14ac:dyDescent="0.3">
      <c r="A64" s="315">
        <f t="shared" si="20"/>
        <v>46227</v>
      </c>
      <c r="B64" s="5">
        <f t="shared" ref="B64:J64" si="45">IF(B29&lt;0,0,B29*B$40/365)</f>
        <v>4506.2635684931502</v>
      </c>
      <c r="C64" s="5">
        <f t="shared" si="45"/>
        <v>22552.091013698635</v>
      </c>
      <c r="D64" s="5">
        <f t="shared" si="45"/>
        <v>4817.131431287673</v>
      </c>
      <c r="E64" s="5">
        <f t="shared" si="45"/>
        <v>9574.2193972602727</v>
      </c>
      <c r="F64" s="5">
        <f t="shared" si="45"/>
        <v>4685.3836175342458</v>
      </c>
      <c r="G64" s="5">
        <f t="shared" si="45"/>
        <v>2174.1456547945204</v>
      </c>
      <c r="H64" s="5">
        <f t="shared" si="45"/>
        <v>3555.3444164383559</v>
      </c>
      <c r="I64" s="5">
        <f t="shared" si="45"/>
        <v>4710.4081643835607</v>
      </c>
      <c r="J64" s="5">
        <f t="shared" si="45"/>
        <v>20115.537534246574</v>
      </c>
      <c r="K64" s="5">
        <f t="shared" si="22"/>
        <v>76690.524798136976</v>
      </c>
    </row>
    <row r="65" spans="1:14" x14ac:dyDescent="0.3">
      <c r="A65" s="315">
        <f t="shared" si="20"/>
        <v>46228</v>
      </c>
      <c r="B65" s="5">
        <f t="shared" ref="B65:J65" si="46">IF(B30&lt;0,0,B30*B$40/365)</f>
        <v>4506.2635684931502</v>
      </c>
      <c r="C65" s="5">
        <f t="shared" si="46"/>
        <v>22552.091013698635</v>
      </c>
      <c r="D65" s="5">
        <f t="shared" si="46"/>
        <v>4817.131431287673</v>
      </c>
      <c r="E65" s="5">
        <f t="shared" si="46"/>
        <v>9574.2193972602727</v>
      </c>
      <c r="F65" s="5">
        <f t="shared" si="46"/>
        <v>4685.3836175342458</v>
      </c>
      <c r="G65" s="5">
        <f t="shared" si="46"/>
        <v>2174.1456547945204</v>
      </c>
      <c r="H65" s="5">
        <f t="shared" si="46"/>
        <v>3555.3444164383559</v>
      </c>
      <c r="I65" s="5">
        <f t="shared" si="46"/>
        <v>4710.4081643835607</v>
      </c>
      <c r="J65" s="5">
        <f t="shared" si="46"/>
        <v>20115.537534246574</v>
      </c>
      <c r="K65" s="5">
        <f t="shared" si="22"/>
        <v>76690.524798136976</v>
      </c>
    </row>
    <row r="66" spans="1:14" x14ac:dyDescent="0.3">
      <c r="A66" s="315">
        <f t="shared" si="20"/>
        <v>46229</v>
      </c>
      <c r="B66" s="5">
        <f t="shared" ref="B66:J66" si="47">IF(B31&lt;0,0,B31*B$40/365)</f>
        <v>4506.2635684931502</v>
      </c>
      <c r="C66" s="5">
        <f t="shared" si="47"/>
        <v>22552.091013698635</v>
      </c>
      <c r="D66" s="5">
        <f t="shared" si="47"/>
        <v>4817.131431287673</v>
      </c>
      <c r="E66" s="5">
        <f t="shared" si="47"/>
        <v>9574.2193972602727</v>
      </c>
      <c r="F66" s="5">
        <f t="shared" si="47"/>
        <v>4685.3836175342458</v>
      </c>
      <c r="G66" s="5">
        <f t="shared" si="47"/>
        <v>2174.1456547945204</v>
      </c>
      <c r="H66" s="5">
        <f t="shared" si="47"/>
        <v>3555.3444164383559</v>
      </c>
      <c r="I66" s="5">
        <f t="shared" si="47"/>
        <v>4710.4081643835607</v>
      </c>
      <c r="J66" s="5">
        <f t="shared" si="47"/>
        <v>20115.537534246574</v>
      </c>
      <c r="K66" s="5">
        <f t="shared" si="22"/>
        <v>76690.524798136976</v>
      </c>
    </row>
    <row r="67" spans="1:14" x14ac:dyDescent="0.3">
      <c r="A67" s="315">
        <f t="shared" si="20"/>
        <v>46230</v>
      </c>
      <c r="B67" s="5">
        <f t="shared" ref="B67:J67" si="48">IF(B32&lt;0,0,B32*B$40/365)</f>
        <v>4506.2635684931502</v>
      </c>
      <c r="C67" s="5">
        <f t="shared" si="48"/>
        <v>22552.091013698635</v>
      </c>
      <c r="D67" s="5">
        <f t="shared" si="48"/>
        <v>4817.131431287673</v>
      </c>
      <c r="E67" s="5">
        <f t="shared" si="48"/>
        <v>9574.2193972602727</v>
      </c>
      <c r="F67" s="5">
        <f t="shared" si="48"/>
        <v>4685.3836175342458</v>
      </c>
      <c r="G67" s="5">
        <f t="shared" si="48"/>
        <v>2174.1456547945204</v>
      </c>
      <c r="H67" s="5">
        <f t="shared" si="48"/>
        <v>3555.3444164383559</v>
      </c>
      <c r="I67" s="5">
        <f t="shared" si="48"/>
        <v>4710.4081643835607</v>
      </c>
      <c r="J67" s="5">
        <f t="shared" si="48"/>
        <v>20115.537534246574</v>
      </c>
      <c r="K67" s="5">
        <f t="shared" si="22"/>
        <v>76690.524798136976</v>
      </c>
    </row>
    <row r="68" spans="1:14" x14ac:dyDescent="0.3">
      <c r="A68" s="315">
        <f t="shared" si="20"/>
        <v>46231</v>
      </c>
      <c r="B68" s="5">
        <f t="shared" ref="B68:J68" si="49">IF(B33&lt;0,0,B33*B$40/365)</f>
        <v>4506.2635684931502</v>
      </c>
      <c r="C68" s="5">
        <f t="shared" si="49"/>
        <v>22552.091013698635</v>
      </c>
      <c r="D68" s="5">
        <f t="shared" si="49"/>
        <v>4817.131431287673</v>
      </c>
      <c r="E68" s="5">
        <f t="shared" si="49"/>
        <v>9574.2193972602727</v>
      </c>
      <c r="F68" s="5">
        <f t="shared" si="49"/>
        <v>4685.3836175342458</v>
      </c>
      <c r="G68" s="5">
        <f t="shared" si="49"/>
        <v>2174.1456547945204</v>
      </c>
      <c r="H68" s="5">
        <f t="shared" si="49"/>
        <v>3555.3444164383559</v>
      </c>
      <c r="I68" s="5">
        <f t="shared" si="49"/>
        <v>4710.4081643835607</v>
      </c>
      <c r="J68" s="5">
        <f t="shared" si="49"/>
        <v>20115.537534246574</v>
      </c>
      <c r="K68" s="5">
        <f t="shared" si="22"/>
        <v>76690.524798136976</v>
      </c>
    </row>
    <row r="69" spans="1:14" x14ac:dyDescent="0.3">
      <c r="A69" s="315">
        <f t="shared" si="20"/>
        <v>46232</v>
      </c>
      <c r="B69" s="5">
        <f t="shared" ref="B69:J69" si="50">IF(B34&lt;0,0,B34*B$40/365)</f>
        <v>4506.2635684931502</v>
      </c>
      <c r="C69" s="5">
        <f t="shared" si="50"/>
        <v>22552.091013698635</v>
      </c>
      <c r="D69" s="5">
        <f t="shared" si="50"/>
        <v>4817.131431287673</v>
      </c>
      <c r="E69" s="5">
        <f t="shared" si="50"/>
        <v>9574.2193972602727</v>
      </c>
      <c r="F69" s="5">
        <f t="shared" si="50"/>
        <v>4685.3836175342458</v>
      </c>
      <c r="G69" s="5">
        <f t="shared" si="50"/>
        <v>2174.1456547945204</v>
      </c>
      <c r="H69" s="5">
        <f t="shared" si="50"/>
        <v>3555.3444164383559</v>
      </c>
      <c r="I69" s="5">
        <f t="shared" si="50"/>
        <v>4710.4081643835607</v>
      </c>
      <c r="J69" s="5">
        <f t="shared" si="50"/>
        <v>20115.537534246574</v>
      </c>
      <c r="K69" s="5">
        <f t="shared" si="22"/>
        <v>76690.524798136976</v>
      </c>
    </row>
    <row r="70" spans="1:14" x14ac:dyDescent="0.3">
      <c r="A70" s="315">
        <f t="shared" si="20"/>
        <v>46233</v>
      </c>
      <c r="B70" s="5">
        <f t="shared" ref="B70:J70" si="51">IF(B35&lt;0,0,B35*B$40/365)</f>
        <v>4506.2635684931502</v>
      </c>
      <c r="C70" s="5">
        <f t="shared" si="51"/>
        <v>22552.091013698635</v>
      </c>
      <c r="D70" s="5">
        <f t="shared" si="51"/>
        <v>4817.131431287673</v>
      </c>
      <c r="E70" s="5">
        <f t="shared" si="51"/>
        <v>9574.2193972602727</v>
      </c>
      <c r="F70" s="5">
        <f t="shared" si="51"/>
        <v>4685.3836175342458</v>
      </c>
      <c r="G70" s="5">
        <f t="shared" si="51"/>
        <v>2174.1456547945204</v>
      </c>
      <c r="H70" s="5">
        <f t="shared" si="51"/>
        <v>3555.3444164383559</v>
      </c>
      <c r="I70" s="5">
        <f t="shared" si="51"/>
        <v>4710.4081643835607</v>
      </c>
      <c r="J70" s="5">
        <f t="shared" si="51"/>
        <v>20115.537534246574</v>
      </c>
      <c r="K70" s="5">
        <f t="shared" ref="K70" si="52">SUM(B70:J70)</f>
        <v>76690.524798136976</v>
      </c>
    </row>
    <row r="71" spans="1:14" x14ac:dyDescent="0.3">
      <c r="A71" s="315">
        <f t="shared" ref="A71" si="53">A36</f>
        <v>46234</v>
      </c>
      <c r="B71" s="5">
        <f t="shared" ref="B71:J71" si="54">IF(B36&lt;0,0,B36*B$40/365)</f>
        <v>4506.2635684931502</v>
      </c>
      <c r="C71" s="5">
        <f t="shared" si="54"/>
        <v>22552.091013698635</v>
      </c>
      <c r="D71" s="5">
        <f t="shared" si="54"/>
        <v>4817.131431287673</v>
      </c>
      <c r="E71" s="5">
        <f t="shared" si="54"/>
        <v>9574.2193972602727</v>
      </c>
      <c r="F71" s="5">
        <f t="shared" si="54"/>
        <v>4685.3836175342458</v>
      </c>
      <c r="G71" s="5">
        <f t="shared" si="54"/>
        <v>2174.1456547945204</v>
      </c>
      <c r="H71" s="5">
        <f t="shared" si="54"/>
        <v>3555.3444164383559</v>
      </c>
      <c r="I71" s="5">
        <f t="shared" si="54"/>
        <v>4710.4081643835607</v>
      </c>
      <c r="J71" s="5">
        <f t="shared" si="54"/>
        <v>20115.537534246574</v>
      </c>
      <c r="K71" s="5">
        <f t="shared" si="22"/>
        <v>76690.524798136976</v>
      </c>
    </row>
    <row r="72" spans="1:14" x14ac:dyDescent="0.3">
      <c r="A72" s="391" t="s">
        <v>14</v>
      </c>
      <c r="B72" s="10">
        <f t="shared" ref="B72:H72" si="55">SUM(B41:B71)</f>
        <v>139694.17062328762</v>
      </c>
      <c r="C72" s="10">
        <f t="shared" si="55"/>
        <v>699114.82142465713</v>
      </c>
      <c r="D72" s="10">
        <f t="shared" si="55"/>
        <v>149331.07436991794</v>
      </c>
      <c r="E72" s="10">
        <f t="shared" si="55"/>
        <v>296800.80131506862</v>
      </c>
      <c r="F72" s="10">
        <f t="shared" si="55"/>
        <v>145246.89214356159</v>
      </c>
      <c r="G72" s="10">
        <f t="shared" si="55"/>
        <v>67398.515298630125</v>
      </c>
      <c r="H72" s="10">
        <f t="shared" si="55"/>
        <v>110215.676909589</v>
      </c>
      <c r="I72" s="10">
        <f>SUM(I41:I71)</f>
        <v>146022.65309589045</v>
      </c>
      <c r="J72" s="10">
        <f>SUM(J41:J71)</f>
        <v>623581.6635616438</v>
      </c>
      <c r="K72" s="5">
        <f t="shared" si="22"/>
        <v>2377406.2687422466</v>
      </c>
    </row>
    <row r="73" spans="1:14" x14ac:dyDescent="0.3">
      <c r="A73" s="320"/>
      <c r="B73" s="320"/>
      <c r="C73" s="320"/>
      <c r="D73" s="320"/>
      <c r="E73" s="320"/>
      <c r="F73" s="320"/>
      <c r="G73" s="320"/>
      <c r="H73" s="320"/>
      <c r="I73" s="320"/>
      <c r="J73" s="320"/>
      <c r="K73" s="320"/>
    </row>
    <row r="74" spans="1:14" x14ac:dyDescent="0.3">
      <c r="A74" s="319" t="s">
        <v>73</v>
      </c>
      <c r="B74" s="319"/>
      <c r="C74" s="319"/>
      <c r="D74" s="319"/>
      <c r="E74" s="319"/>
      <c r="F74" s="319"/>
      <c r="G74" s="319"/>
      <c r="H74" s="319"/>
      <c r="I74" s="319"/>
      <c r="J74" s="319"/>
      <c r="K74" s="319"/>
    </row>
    <row r="75" spans="1:14" s="75" customFormat="1" ht="55.95" customHeight="1" x14ac:dyDescent="0.25">
      <c r="A75" s="95" t="s">
        <v>18</v>
      </c>
      <c r="B75" s="46" t="str">
        <f t="shared" ref="B75:H75" si="56">B5</f>
        <v>120FATR00018403
C.D 17.03.2026, M.D 13.09.2026)</v>
      </c>
      <c r="C75" s="46" t="str">
        <f t="shared" si="56"/>
        <v>120FATR00018502
C.D 04.05.2026, M.D 31.10.2026)</v>
      </c>
      <c r="D75" s="46" t="str">
        <f t="shared" si="56"/>
        <v>120FATR00018542
C.D 15.05.2026, M.D 11.11.2026)</v>
      </c>
      <c r="E75" s="46" t="str">
        <f t="shared" si="56"/>
        <v>120FATR00018586
C.D 03.06.2026, M.D 30.11.2026)</v>
      </c>
      <c r="F75" s="46" t="str">
        <f t="shared" si="56"/>
        <v>120FATR00018588
C.D 03.06.2026, M.D 30.11.2026)</v>
      </c>
      <c r="G75" s="46" t="str">
        <f t="shared" si="56"/>
        <v>120FATR00018587
C.D 03.06.2026, M.D 30.11.2026)</v>
      </c>
      <c r="H75" s="46" t="str">
        <f t="shared" si="56"/>
        <v>120FATR00018618
C.D 11.06.2026, M.D 08.12.2026)</v>
      </c>
      <c r="I75" s="46" t="str">
        <f>I5</f>
        <v>120FATR00018659
C.D 22.06.2026, M.D 19.12.2026)</v>
      </c>
      <c r="J75" s="46" t="str">
        <f>J5</f>
        <v>120FATR00018672
C.D 29.06.2026, M.D 26.12.2026)</v>
      </c>
      <c r="K75" s="46" t="s">
        <v>0</v>
      </c>
    </row>
    <row r="76" spans="1:14" x14ac:dyDescent="0.3">
      <c r="A76" s="11" t="s">
        <v>15</v>
      </c>
      <c r="B76" s="572">
        <v>410069.98635616421</v>
      </c>
      <c r="C76" s="572">
        <v>1308021.2787945198</v>
      </c>
      <c r="D76" s="572">
        <v>226405.17727052071</v>
      </c>
      <c r="E76" s="572">
        <v>268078.14312328777</v>
      </c>
      <c r="F76" s="572">
        <v>131190.74129095886</v>
      </c>
      <c r="G76" s="572">
        <v>60876.078334246566</v>
      </c>
      <c r="H76" s="572">
        <v>71106.888328767105</v>
      </c>
      <c r="I76" s="572">
        <v>42393.673479452045</v>
      </c>
      <c r="J76" s="572">
        <v>40231.075068493148</v>
      </c>
      <c r="K76" s="306">
        <f>SUM(B76:J76)</f>
        <v>2558373.042046411</v>
      </c>
      <c r="L76" s="575"/>
    </row>
    <row r="77" spans="1:14" x14ac:dyDescent="0.3">
      <c r="A77" s="11" t="s">
        <v>16</v>
      </c>
      <c r="B77" s="5">
        <f t="shared" ref="B77:H77" si="57">B72</f>
        <v>139694.17062328762</v>
      </c>
      <c r="C77" s="5">
        <f t="shared" si="57"/>
        <v>699114.82142465713</v>
      </c>
      <c r="D77" s="5">
        <f t="shared" si="57"/>
        <v>149331.07436991794</v>
      </c>
      <c r="E77" s="5">
        <f t="shared" si="57"/>
        <v>296800.80131506862</v>
      </c>
      <c r="F77" s="5">
        <f t="shared" si="57"/>
        <v>145246.89214356159</v>
      </c>
      <c r="G77" s="5">
        <f t="shared" si="57"/>
        <v>67398.515298630125</v>
      </c>
      <c r="H77" s="5">
        <f t="shared" si="57"/>
        <v>110215.676909589</v>
      </c>
      <c r="I77" s="5">
        <f>I72</f>
        <v>146022.65309589045</v>
      </c>
      <c r="J77" s="5">
        <f>J72</f>
        <v>623581.6635616438</v>
      </c>
      <c r="K77" s="306">
        <f>SUM(B77:J77)</f>
        <v>2377406.2687422466</v>
      </c>
    </row>
    <row r="78" spans="1:14" x14ac:dyDescent="0.3">
      <c r="A78" s="11" t="s">
        <v>26</v>
      </c>
      <c r="B78" s="804">
        <v>0</v>
      </c>
      <c r="C78" s="804">
        <v>0</v>
      </c>
      <c r="D78" s="804">
        <v>0</v>
      </c>
      <c r="E78" s="804">
        <v>0</v>
      </c>
      <c r="F78" s="804">
        <v>0</v>
      </c>
      <c r="G78" s="804">
        <v>0</v>
      </c>
      <c r="H78" s="804">
        <v>0</v>
      </c>
      <c r="I78" s="804">
        <v>0</v>
      </c>
      <c r="J78" s="804">
        <v>0</v>
      </c>
      <c r="K78" s="306">
        <f>SUM(B78:J78)</f>
        <v>0</v>
      </c>
    </row>
    <row r="79" spans="1:14" x14ac:dyDescent="0.3">
      <c r="A79" s="11" t="s">
        <v>14</v>
      </c>
      <c r="B79" s="5">
        <f t="shared" ref="B79:H79" si="58">SUM(B76:B78)</f>
        <v>549764.15697945189</v>
      </c>
      <c r="C79" s="5">
        <f t="shared" si="58"/>
        <v>2007136.1002191771</v>
      </c>
      <c r="D79" s="5">
        <f t="shared" si="58"/>
        <v>375736.25164043868</v>
      </c>
      <c r="E79" s="5">
        <f t="shared" si="58"/>
        <v>564878.94443835644</v>
      </c>
      <c r="F79" s="5">
        <f t="shared" si="58"/>
        <v>276437.63343452045</v>
      </c>
      <c r="G79" s="5">
        <f t="shared" si="58"/>
        <v>128274.5936328767</v>
      </c>
      <c r="H79" s="5">
        <f t="shared" si="58"/>
        <v>181322.56523835612</v>
      </c>
      <c r="I79" s="5">
        <f>SUM(I76:I78)</f>
        <v>188416.32657534251</v>
      </c>
      <c r="J79" s="5">
        <f>SUM(J76:J78)</f>
        <v>663812.73863013694</v>
      </c>
      <c r="K79" s="306">
        <f>SUM(B79:J79)</f>
        <v>4935779.3107886575</v>
      </c>
      <c r="L79" s="325"/>
      <c r="M79" s="34"/>
    </row>
    <row r="80" spans="1:14" x14ac:dyDescent="0.3">
      <c r="A80" s="317"/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N80" s="2"/>
    </row>
    <row r="81" spans="1:13" ht="17.399999999999999" x14ac:dyDescent="0.3">
      <c r="A81" s="12" t="s">
        <v>30</v>
      </c>
      <c r="B81" s="353"/>
      <c r="C81" s="353"/>
      <c r="D81" s="353"/>
      <c r="E81" s="353"/>
      <c r="F81" s="353"/>
      <c r="G81" s="353"/>
      <c r="H81" s="353"/>
      <c r="I81" s="353"/>
      <c r="J81" s="353"/>
      <c r="K81" s="353">
        <f>SUM(B81:J81)</f>
        <v>0</v>
      </c>
      <c r="L81" s="707"/>
      <c r="M81" s="708"/>
    </row>
    <row r="82" spans="1:13" x14ac:dyDescent="0.3">
      <c r="A82" s="318"/>
      <c r="B82" s="318"/>
      <c r="C82" s="318"/>
      <c r="D82" s="318"/>
      <c r="E82" s="318"/>
      <c r="F82" s="318"/>
      <c r="G82" s="318"/>
      <c r="H82" s="318"/>
      <c r="I82" s="318"/>
      <c r="J82" s="318"/>
      <c r="K82" s="318"/>
      <c r="L82" s="325"/>
    </row>
    <row r="83" spans="1:13" x14ac:dyDescent="0.3">
      <c r="A83" s="12" t="s">
        <v>4</v>
      </c>
      <c r="B83" s="44"/>
      <c r="C83" s="44"/>
      <c r="D83" s="44"/>
      <c r="E83" s="44"/>
      <c r="F83" s="44"/>
      <c r="G83" s="44"/>
      <c r="H83" s="44"/>
      <c r="I83" s="44"/>
      <c r="J83" s="44"/>
      <c r="K83" s="13">
        <f>SUM(B83:J83)</f>
        <v>0</v>
      </c>
      <c r="L83" s="325"/>
    </row>
    <row r="84" spans="1:13" x14ac:dyDescent="0.3">
      <c r="A84" s="318"/>
      <c r="B84" s="318"/>
      <c r="C84" s="318"/>
      <c r="D84" s="318"/>
      <c r="E84" s="318"/>
      <c r="F84" s="318"/>
      <c r="G84" s="318"/>
      <c r="H84" s="318"/>
      <c r="I84" s="318"/>
      <c r="J84" s="318"/>
      <c r="K84" s="318"/>
      <c r="L84" s="325"/>
    </row>
    <row r="85" spans="1:13" x14ac:dyDescent="0.3">
      <c r="A85" s="28" t="s">
        <v>17</v>
      </c>
      <c r="B85" s="29">
        <f t="shared" ref="B85:H85" si="59">B72+B83+B78</f>
        <v>139694.17062328762</v>
      </c>
      <c r="C85" s="29">
        <f t="shared" si="59"/>
        <v>699114.82142465713</v>
      </c>
      <c r="D85" s="29">
        <f t="shared" si="59"/>
        <v>149331.07436991794</v>
      </c>
      <c r="E85" s="29">
        <f t="shared" si="59"/>
        <v>296800.80131506862</v>
      </c>
      <c r="F85" s="29">
        <f t="shared" si="59"/>
        <v>145246.89214356159</v>
      </c>
      <c r="G85" s="29">
        <f t="shared" si="59"/>
        <v>67398.515298630125</v>
      </c>
      <c r="H85" s="29">
        <f t="shared" si="59"/>
        <v>110215.676909589</v>
      </c>
      <c r="I85" s="29">
        <f>I72+I83+I78</f>
        <v>146022.65309589045</v>
      </c>
      <c r="J85" s="29">
        <f>J72+J83+J78</f>
        <v>623581.6635616438</v>
      </c>
      <c r="K85" s="29">
        <f>SUM(B85:J85)</f>
        <v>2377406.2687422466</v>
      </c>
      <c r="L85" s="325"/>
    </row>
    <row r="86" spans="1:13" x14ac:dyDescent="0.3">
      <c r="A86" s="318"/>
      <c r="B86" s="318"/>
      <c r="C86" s="318"/>
      <c r="D86" s="318"/>
      <c r="E86" s="318"/>
      <c r="F86" s="318"/>
      <c r="G86" s="318"/>
      <c r="H86" s="318"/>
      <c r="I86" s="318"/>
      <c r="J86" s="318"/>
      <c r="K86" s="318"/>
      <c r="L86" s="325"/>
    </row>
    <row r="87" spans="1:13" x14ac:dyDescent="0.3">
      <c r="A87" s="99" t="s">
        <v>31</v>
      </c>
      <c r="B87" s="98">
        <f t="shared" ref="B87:H87" si="60">B79+B83-B81</f>
        <v>549764.15697945189</v>
      </c>
      <c r="C87" s="98">
        <f t="shared" si="60"/>
        <v>2007136.1002191771</v>
      </c>
      <c r="D87" s="98">
        <f t="shared" si="60"/>
        <v>375736.25164043868</v>
      </c>
      <c r="E87" s="98">
        <f t="shared" si="60"/>
        <v>564878.94443835644</v>
      </c>
      <c r="F87" s="98">
        <f t="shared" si="60"/>
        <v>276437.63343452045</v>
      </c>
      <c r="G87" s="98">
        <f t="shared" si="60"/>
        <v>128274.5936328767</v>
      </c>
      <c r="H87" s="98">
        <f t="shared" si="60"/>
        <v>181322.56523835612</v>
      </c>
      <c r="I87" s="98">
        <f>I79+I83-I81</f>
        <v>188416.32657534251</v>
      </c>
      <c r="J87" s="98">
        <f>J79+J83-J81</f>
        <v>663812.73863013694</v>
      </c>
      <c r="K87" s="98">
        <f>K79+K83-K81</f>
        <v>4935779.3107886575</v>
      </c>
      <c r="L87" s="325"/>
    </row>
    <row r="88" spans="1:13" x14ac:dyDescent="0.3">
      <c r="A88" s="322" t="s">
        <v>254</v>
      </c>
      <c r="B88" s="322">
        <v>30000878</v>
      </c>
      <c r="C88" s="322">
        <v>30000888</v>
      </c>
      <c r="D88" s="322">
        <v>30000894</v>
      </c>
      <c r="E88" s="321">
        <v>30000900</v>
      </c>
      <c r="F88" s="321">
        <v>30000900</v>
      </c>
      <c r="G88" s="321">
        <v>30000900</v>
      </c>
      <c r="H88" s="322">
        <v>30000901</v>
      </c>
      <c r="I88" s="322">
        <v>30000911</v>
      </c>
      <c r="J88" s="322">
        <v>30000908</v>
      </c>
      <c r="L88" s="325"/>
    </row>
    <row r="89" spans="1:13" x14ac:dyDescent="0.3">
      <c r="A89" s="3" t="s">
        <v>50</v>
      </c>
      <c r="K89" s="34"/>
      <c r="L89" s="325"/>
    </row>
    <row r="90" spans="1:13" x14ac:dyDescent="0.3">
      <c r="A90" s="318" t="s">
        <v>265</v>
      </c>
      <c r="B90" s="322">
        <v>9200000040</v>
      </c>
      <c r="C90" s="322"/>
      <c r="D90" s="322"/>
      <c r="E90" s="322"/>
      <c r="F90" s="322"/>
      <c r="G90" s="322"/>
      <c r="H90" s="322"/>
      <c r="I90" s="322"/>
      <c r="J90" s="322"/>
      <c r="L90" s="325"/>
    </row>
    <row r="91" spans="1:13" x14ac:dyDescent="0.3">
      <c r="A91" s="318" t="s">
        <v>266</v>
      </c>
      <c r="B91" s="322">
        <v>40000033</v>
      </c>
      <c r="C91" s="322"/>
      <c r="D91" s="322"/>
      <c r="E91" s="322"/>
      <c r="F91" s="322"/>
      <c r="G91" s="322"/>
      <c r="H91" s="322"/>
      <c r="I91" s="322"/>
      <c r="J91" s="322"/>
      <c r="L91" s="325"/>
    </row>
  </sheetData>
  <printOptions horizontalCentered="1" verticalCentered="1"/>
  <pageMargins left="0.23622047244094491" right="0.23622047244094491" top="0.51181102362204722" bottom="0.51181102362204722" header="0.51181102362204722" footer="0.51181102362204722"/>
  <pageSetup scale="52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0C02-E5AA-4BCF-81D3-82A8C8E0F326}">
  <sheetPr>
    <pageSetUpPr fitToPage="1"/>
  </sheetPr>
  <dimension ref="A1:O160"/>
  <sheetViews>
    <sheetView showGridLines="0" topLeftCell="A23" zoomScaleNormal="100" workbookViewId="0">
      <selection activeCell="B157" sqref="B157"/>
    </sheetView>
  </sheetViews>
  <sheetFormatPr defaultColWidth="10.6328125" defaultRowHeight="13.8" x14ac:dyDescent="0.3"/>
  <cols>
    <col min="1" max="1" width="24.7265625" style="3" customWidth="1"/>
    <col min="2" max="2" width="13.36328125" style="3" bestFit="1" customWidth="1"/>
    <col min="3" max="5" width="12.6328125" style="3" customWidth="1"/>
    <col min="6" max="6" width="2.453125" style="31" customWidth="1"/>
    <col min="7" max="7" width="15.90625" style="3" bestFit="1" customWidth="1"/>
    <col min="8" max="16384" width="10.6328125" style="3"/>
  </cols>
  <sheetData>
    <row r="1" spans="1:11" ht="18" x14ac:dyDescent="0.35">
      <c r="A1" s="7" t="s">
        <v>93</v>
      </c>
      <c r="B1" s="118"/>
      <c r="C1" s="118"/>
      <c r="D1" s="118"/>
      <c r="E1" s="118"/>
      <c r="F1" s="199"/>
      <c r="G1" s="118"/>
    </row>
    <row r="2" spans="1:11" ht="18.600000000000001" thickBot="1" x14ac:dyDescent="0.4">
      <c r="A2" s="8" t="s">
        <v>163</v>
      </c>
      <c r="B2" s="119"/>
      <c r="C2" s="119"/>
      <c r="D2" s="119"/>
      <c r="E2" s="119"/>
      <c r="F2" s="200"/>
      <c r="G2" s="27">
        <f>'FINANCIAL COST SUMMARY'!K2</f>
        <v>46204</v>
      </c>
    </row>
    <row r="3" spans="1:11" x14ac:dyDescent="0.3">
      <c r="A3" s="120" t="s">
        <v>94</v>
      </c>
    </row>
    <row r="4" spans="1:11" ht="15.6" customHeight="1" x14ac:dyDescent="0.3">
      <c r="A4" s="944" t="s">
        <v>2</v>
      </c>
      <c r="B4" s="948"/>
      <c r="C4" s="122"/>
      <c r="D4" s="122"/>
      <c r="E4" s="122"/>
      <c r="F4" s="201"/>
      <c r="G4" s="946" t="s">
        <v>0</v>
      </c>
    </row>
    <row r="5" spans="1:11" ht="23.4" customHeight="1" x14ac:dyDescent="0.3">
      <c r="A5" s="945"/>
      <c r="B5" s="949"/>
      <c r="C5" s="123"/>
      <c r="D5" s="123"/>
      <c r="E5" s="123"/>
      <c r="F5" s="202"/>
      <c r="G5" s="947"/>
    </row>
    <row r="6" spans="1:11" x14ac:dyDescent="0.3">
      <c r="A6" s="6">
        <v>43922</v>
      </c>
      <c r="B6" s="59"/>
      <c r="C6" s="33">
        <v>0</v>
      </c>
      <c r="D6" s="33">
        <v>0</v>
      </c>
      <c r="E6" s="33">
        <v>0</v>
      </c>
      <c r="F6" s="59"/>
      <c r="G6" s="33">
        <f t="shared" ref="G6:G35" si="0">SUM(B6:E6)</f>
        <v>0</v>
      </c>
      <c r="I6" s="76">
        <v>43712</v>
      </c>
      <c r="J6" s="3">
        <v>180</v>
      </c>
      <c r="K6" s="76">
        <f>I6+J6</f>
        <v>43892</v>
      </c>
    </row>
    <row r="7" spans="1:11" x14ac:dyDescent="0.3">
      <c r="A7" s="6">
        <v>43923</v>
      </c>
      <c r="B7" s="59">
        <f>188700-188700</f>
        <v>0</v>
      </c>
      <c r="C7" s="33">
        <f t="shared" ref="C7:E22" si="1">C6</f>
        <v>0</v>
      </c>
      <c r="D7" s="33">
        <f t="shared" si="1"/>
        <v>0</v>
      </c>
      <c r="E7" s="33">
        <f t="shared" si="1"/>
        <v>0</v>
      </c>
      <c r="F7" s="59"/>
      <c r="G7" s="33">
        <f t="shared" si="0"/>
        <v>0</v>
      </c>
    </row>
    <row r="8" spans="1:11" x14ac:dyDescent="0.3">
      <c r="A8" s="6">
        <v>43924</v>
      </c>
      <c r="B8" s="59">
        <f t="shared" ref="B8:B34" si="2">188700-188700</f>
        <v>0</v>
      </c>
      <c r="C8" s="33">
        <f t="shared" si="1"/>
        <v>0</v>
      </c>
      <c r="D8" s="33">
        <f t="shared" si="1"/>
        <v>0</v>
      </c>
      <c r="E8" s="33">
        <f t="shared" si="1"/>
        <v>0</v>
      </c>
      <c r="F8" s="59"/>
      <c r="G8" s="33">
        <f t="shared" si="0"/>
        <v>0</v>
      </c>
    </row>
    <row r="9" spans="1:11" x14ac:dyDescent="0.3">
      <c r="A9" s="6">
        <v>43925</v>
      </c>
      <c r="B9" s="59">
        <f t="shared" si="2"/>
        <v>0</v>
      </c>
      <c r="C9" s="33">
        <f t="shared" si="1"/>
        <v>0</v>
      </c>
      <c r="D9" s="33">
        <f t="shared" si="1"/>
        <v>0</v>
      </c>
      <c r="E9" s="33">
        <f t="shared" si="1"/>
        <v>0</v>
      </c>
      <c r="F9" s="59"/>
      <c r="G9" s="33">
        <f t="shared" si="0"/>
        <v>0</v>
      </c>
    </row>
    <row r="10" spans="1:11" x14ac:dyDescent="0.3">
      <c r="A10" s="6">
        <v>43926</v>
      </c>
      <c r="B10" s="59">
        <f t="shared" si="2"/>
        <v>0</v>
      </c>
      <c r="C10" s="33">
        <f t="shared" si="1"/>
        <v>0</v>
      </c>
      <c r="D10" s="33">
        <f t="shared" si="1"/>
        <v>0</v>
      </c>
      <c r="E10" s="33">
        <f t="shared" si="1"/>
        <v>0</v>
      </c>
      <c r="F10" s="59"/>
      <c r="G10" s="33">
        <f t="shared" si="0"/>
        <v>0</v>
      </c>
    </row>
    <row r="11" spans="1:11" x14ac:dyDescent="0.3">
      <c r="A11" s="6">
        <v>43927</v>
      </c>
      <c r="B11" s="59">
        <f t="shared" si="2"/>
        <v>0</v>
      </c>
      <c r="C11" s="33">
        <f t="shared" si="1"/>
        <v>0</v>
      </c>
      <c r="D11" s="33">
        <f t="shared" si="1"/>
        <v>0</v>
      </c>
      <c r="E11" s="33">
        <f t="shared" si="1"/>
        <v>0</v>
      </c>
      <c r="F11" s="59"/>
      <c r="G11" s="33">
        <f t="shared" si="0"/>
        <v>0</v>
      </c>
    </row>
    <row r="12" spans="1:11" x14ac:dyDescent="0.3">
      <c r="A12" s="6">
        <v>43928</v>
      </c>
      <c r="B12" s="59">
        <f t="shared" si="2"/>
        <v>0</v>
      </c>
      <c r="C12" s="33">
        <f t="shared" si="1"/>
        <v>0</v>
      </c>
      <c r="D12" s="33">
        <f t="shared" si="1"/>
        <v>0</v>
      </c>
      <c r="E12" s="33">
        <f t="shared" si="1"/>
        <v>0</v>
      </c>
      <c r="F12" s="59"/>
      <c r="G12" s="33">
        <f t="shared" si="0"/>
        <v>0</v>
      </c>
    </row>
    <row r="13" spans="1:11" x14ac:dyDescent="0.3">
      <c r="A13" s="6">
        <v>43929</v>
      </c>
      <c r="B13" s="59">
        <f t="shared" si="2"/>
        <v>0</v>
      </c>
      <c r="C13" s="33">
        <f t="shared" si="1"/>
        <v>0</v>
      </c>
      <c r="D13" s="33">
        <f t="shared" si="1"/>
        <v>0</v>
      </c>
      <c r="E13" s="33">
        <f t="shared" si="1"/>
        <v>0</v>
      </c>
      <c r="F13" s="59"/>
      <c r="G13" s="33">
        <f t="shared" si="0"/>
        <v>0</v>
      </c>
    </row>
    <row r="14" spans="1:11" x14ac:dyDescent="0.3">
      <c r="A14" s="6">
        <v>43930</v>
      </c>
      <c r="B14" s="59">
        <f t="shared" si="2"/>
        <v>0</v>
      </c>
      <c r="C14" s="33">
        <f t="shared" si="1"/>
        <v>0</v>
      </c>
      <c r="D14" s="33">
        <f t="shared" si="1"/>
        <v>0</v>
      </c>
      <c r="E14" s="33">
        <f t="shared" si="1"/>
        <v>0</v>
      </c>
      <c r="F14" s="59"/>
      <c r="G14" s="33">
        <f t="shared" si="0"/>
        <v>0</v>
      </c>
    </row>
    <row r="15" spans="1:11" x14ac:dyDescent="0.3">
      <c r="A15" s="6">
        <v>43931</v>
      </c>
      <c r="B15" s="59">
        <f t="shared" si="2"/>
        <v>0</v>
      </c>
      <c r="C15" s="33">
        <f t="shared" si="1"/>
        <v>0</v>
      </c>
      <c r="D15" s="33">
        <f t="shared" si="1"/>
        <v>0</v>
      </c>
      <c r="E15" s="33">
        <f t="shared" si="1"/>
        <v>0</v>
      </c>
      <c r="F15" s="59"/>
      <c r="G15" s="33">
        <f t="shared" si="0"/>
        <v>0</v>
      </c>
    </row>
    <row r="16" spans="1:11" x14ac:dyDescent="0.3">
      <c r="A16" s="6">
        <v>43932</v>
      </c>
      <c r="B16" s="59">
        <f t="shared" si="2"/>
        <v>0</v>
      </c>
      <c r="C16" s="33">
        <f t="shared" si="1"/>
        <v>0</v>
      </c>
      <c r="D16" s="33">
        <f t="shared" si="1"/>
        <v>0</v>
      </c>
      <c r="E16" s="33">
        <f t="shared" si="1"/>
        <v>0</v>
      </c>
      <c r="F16" s="59"/>
      <c r="G16" s="33">
        <f t="shared" si="0"/>
        <v>0</v>
      </c>
    </row>
    <row r="17" spans="1:7" x14ac:dyDescent="0.3">
      <c r="A17" s="6">
        <v>43933</v>
      </c>
      <c r="B17" s="59">
        <f t="shared" si="2"/>
        <v>0</v>
      </c>
      <c r="C17" s="33">
        <f t="shared" si="1"/>
        <v>0</v>
      </c>
      <c r="D17" s="33">
        <f t="shared" si="1"/>
        <v>0</v>
      </c>
      <c r="E17" s="33">
        <f t="shared" si="1"/>
        <v>0</v>
      </c>
      <c r="F17" s="59"/>
      <c r="G17" s="33">
        <f t="shared" si="0"/>
        <v>0</v>
      </c>
    </row>
    <row r="18" spans="1:7" x14ac:dyDescent="0.3">
      <c r="A18" s="6">
        <v>43934</v>
      </c>
      <c r="B18" s="59">
        <f t="shared" si="2"/>
        <v>0</v>
      </c>
      <c r="C18" s="33">
        <f t="shared" si="1"/>
        <v>0</v>
      </c>
      <c r="D18" s="33">
        <f t="shared" si="1"/>
        <v>0</v>
      </c>
      <c r="E18" s="33">
        <f t="shared" si="1"/>
        <v>0</v>
      </c>
      <c r="F18" s="59"/>
      <c r="G18" s="33">
        <f t="shared" si="0"/>
        <v>0</v>
      </c>
    </row>
    <row r="19" spans="1:7" x14ac:dyDescent="0.3">
      <c r="A19" s="6">
        <v>43935</v>
      </c>
      <c r="B19" s="59">
        <f t="shared" si="2"/>
        <v>0</v>
      </c>
      <c r="C19" s="33">
        <f t="shared" si="1"/>
        <v>0</v>
      </c>
      <c r="D19" s="33">
        <f t="shared" si="1"/>
        <v>0</v>
      </c>
      <c r="E19" s="33">
        <f t="shared" si="1"/>
        <v>0</v>
      </c>
      <c r="F19" s="59"/>
      <c r="G19" s="33">
        <f t="shared" si="0"/>
        <v>0</v>
      </c>
    </row>
    <row r="20" spans="1:7" x14ac:dyDescent="0.3">
      <c r="A20" s="6">
        <v>43936</v>
      </c>
      <c r="B20" s="59">
        <f t="shared" si="2"/>
        <v>0</v>
      </c>
      <c r="C20" s="33">
        <f t="shared" si="1"/>
        <v>0</v>
      </c>
      <c r="D20" s="33">
        <f t="shared" si="1"/>
        <v>0</v>
      </c>
      <c r="E20" s="33">
        <f t="shared" si="1"/>
        <v>0</v>
      </c>
      <c r="F20" s="59"/>
      <c r="G20" s="33">
        <f t="shared" si="0"/>
        <v>0</v>
      </c>
    </row>
    <row r="21" spans="1:7" x14ac:dyDescent="0.3">
      <c r="A21" s="6">
        <v>43937</v>
      </c>
      <c r="B21" s="59">
        <f t="shared" si="2"/>
        <v>0</v>
      </c>
      <c r="C21" s="33">
        <f t="shared" si="1"/>
        <v>0</v>
      </c>
      <c r="D21" s="33">
        <f t="shared" si="1"/>
        <v>0</v>
      </c>
      <c r="E21" s="33">
        <f t="shared" si="1"/>
        <v>0</v>
      </c>
      <c r="F21" s="59"/>
      <c r="G21" s="33">
        <f t="shared" si="0"/>
        <v>0</v>
      </c>
    </row>
    <row r="22" spans="1:7" x14ac:dyDescent="0.3">
      <c r="A22" s="6">
        <v>43938</v>
      </c>
      <c r="B22" s="59">
        <f t="shared" si="2"/>
        <v>0</v>
      </c>
      <c r="C22" s="33">
        <f t="shared" si="1"/>
        <v>0</v>
      </c>
      <c r="D22" s="33">
        <f t="shared" si="1"/>
        <v>0</v>
      </c>
      <c r="E22" s="33">
        <f t="shared" si="1"/>
        <v>0</v>
      </c>
      <c r="F22" s="59"/>
      <c r="G22" s="33">
        <f t="shared" si="0"/>
        <v>0</v>
      </c>
    </row>
    <row r="23" spans="1:7" x14ac:dyDescent="0.3">
      <c r="A23" s="6">
        <v>43939</v>
      </c>
      <c r="B23" s="59">
        <f t="shared" si="2"/>
        <v>0</v>
      </c>
      <c r="C23" s="33">
        <f t="shared" ref="C23:E34" si="3">C22</f>
        <v>0</v>
      </c>
      <c r="D23" s="33">
        <f t="shared" si="3"/>
        <v>0</v>
      </c>
      <c r="E23" s="33">
        <f t="shared" si="3"/>
        <v>0</v>
      </c>
      <c r="F23" s="59"/>
      <c r="G23" s="33">
        <f t="shared" si="0"/>
        <v>0</v>
      </c>
    </row>
    <row r="24" spans="1:7" x14ac:dyDescent="0.3">
      <c r="A24" s="6">
        <v>43940</v>
      </c>
      <c r="B24" s="59">
        <f t="shared" si="2"/>
        <v>0</v>
      </c>
      <c r="C24" s="33">
        <f t="shared" si="3"/>
        <v>0</v>
      </c>
      <c r="D24" s="33">
        <f t="shared" si="3"/>
        <v>0</v>
      </c>
      <c r="E24" s="33">
        <f t="shared" si="3"/>
        <v>0</v>
      </c>
      <c r="F24" s="59"/>
      <c r="G24" s="33">
        <f t="shared" si="0"/>
        <v>0</v>
      </c>
    </row>
    <row r="25" spans="1:7" x14ac:dyDescent="0.3">
      <c r="A25" s="6">
        <v>43941</v>
      </c>
      <c r="B25" s="59">
        <f t="shared" si="2"/>
        <v>0</v>
      </c>
      <c r="C25" s="33">
        <f t="shared" si="3"/>
        <v>0</v>
      </c>
      <c r="D25" s="33">
        <f t="shared" si="3"/>
        <v>0</v>
      </c>
      <c r="E25" s="33">
        <f t="shared" si="3"/>
        <v>0</v>
      </c>
      <c r="F25" s="59"/>
      <c r="G25" s="33">
        <f t="shared" si="0"/>
        <v>0</v>
      </c>
    </row>
    <row r="26" spans="1:7" x14ac:dyDescent="0.3">
      <c r="A26" s="6">
        <v>43942</v>
      </c>
      <c r="B26" s="59">
        <f t="shared" si="2"/>
        <v>0</v>
      </c>
      <c r="C26" s="33">
        <f t="shared" si="3"/>
        <v>0</v>
      </c>
      <c r="D26" s="33">
        <f t="shared" si="3"/>
        <v>0</v>
      </c>
      <c r="E26" s="33">
        <f t="shared" si="3"/>
        <v>0</v>
      </c>
      <c r="F26" s="59"/>
      <c r="G26" s="33">
        <f t="shared" si="0"/>
        <v>0</v>
      </c>
    </row>
    <row r="27" spans="1:7" x14ac:dyDescent="0.3">
      <c r="A27" s="6">
        <v>43943</v>
      </c>
      <c r="B27" s="59">
        <f t="shared" si="2"/>
        <v>0</v>
      </c>
      <c r="C27" s="33">
        <f t="shared" si="3"/>
        <v>0</v>
      </c>
      <c r="D27" s="33">
        <f t="shared" si="3"/>
        <v>0</v>
      </c>
      <c r="E27" s="33">
        <f t="shared" si="3"/>
        <v>0</v>
      </c>
      <c r="F27" s="59"/>
      <c r="G27" s="33">
        <f t="shared" si="0"/>
        <v>0</v>
      </c>
    </row>
    <row r="28" spans="1:7" x14ac:dyDescent="0.3">
      <c r="A28" s="6">
        <v>43944</v>
      </c>
      <c r="B28" s="59">
        <f t="shared" si="2"/>
        <v>0</v>
      </c>
      <c r="C28" s="33">
        <f t="shared" si="3"/>
        <v>0</v>
      </c>
      <c r="D28" s="33">
        <f t="shared" si="3"/>
        <v>0</v>
      </c>
      <c r="E28" s="33">
        <f t="shared" si="3"/>
        <v>0</v>
      </c>
      <c r="F28" s="59"/>
      <c r="G28" s="33">
        <f t="shared" si="0"/>
        <v>0</v>
      </c>
    </row>
    <row r="29" spans="1:7" x14ac:dyDescent="0.3">
      <c r="A29" s="6">
        <v>43945</v>
      </c>
      <c r="B29" s="59">
        <f t="shared" si="2"/>
        <v>0</v>
      </c>
      <c r="C29" s="33">
        <f t="shared" si="3"/>
        <v>0</v>
      </c>
      <c r="D29" s="33">
        <f t="shared" si="3"/>
        <v>0</v>
      </c>
      <c r="E29" s="33">
        <f t="shared" si="3"/>
        <v>0</v>
      </c>
      <c r="F29" s="59"/>
      <c r="G29" s="33">
        <f t="shared" si="0"/>
        <v>0</v>
      </c>
    </row>
    <row r="30" spans="1:7" x14ac:dyDescent="0.3">
      <c r="A30" s="6">
        <v>43946</v>
      </c>
      <c r="B30" s="59">
        <f t="shared" si="2"/>
        <v>0</v>
      </c>
      <c r="C30" s="33">
        <f t="shared" si="3"/>
        <v>0</v>
      </c>
      <c r="D30" s="33">
        <f t="shared" si="3"/>
        <v>0</v>
      </c>
      <c r="E30" s="33">
        <f t="shared" si="3"/>
        <v>0</v>
      </c>
      <c r="F30" s="59"/>
      <c r="G30" s="33">
        <f t="shared" si="0"/>
        <v>0</v>
      </c>
    </row>
    <row r="31" spans="1:7" x14ac:dyDescent="0.3">
      <c r="A31" s="6">
        <v>43947</v>
      </c>
      <c r="B31" s="59">
        <f t="shared" si="2"/>
        <v>0</v>
      </c>
      <c r="C31" s="33">
        <f t="shared" si="3"/>
        <v>0</v>
      </c>
      <c r="D31" s="33">
        <f t="shared" si="3"/>
        <v>0</v>
      </c>
      <c r="E31" s="33">
        <f t="shared" si="3"/>
        <v>0</v>
      </c>
      <c r="F31" s="59"/>
      <c r="G31" s="33">
        <f t="shared" si="0"/>
        <v>0</v>
      </c>
    </row>
    <row r="32" spans="1:7" x14ac:dyDescent="0.3">
      <c r="A32" s="6">
        <v>43948</v>
      </c>
      <c r="B32" s="59">
        <f t="shared" si="2"/>
        <v>0</v>
      </c>
      <c r="C32" s="33">
        <f t="shared" si="3"/>
        <v>0</v>
      </c>
      <c r="D32" s="33">
        <f t="shared" si="3"/>
        <v>0</v>
      </c>
      <c r="E32" s="33">
        <f t="shared" si="3"/>
        <v>0</v>
      </c>
      <c r="F32" s="59"/>
      <c r="G32" s="33">
        <f t="shared" si="0"/>
        <v>0</v>
      </c>
    </row>
    <row r="33" spans="1:7" x14ac:dyDescent="0.3">
      <c r="A33" s="6">
        <v>43949</v>
      </c>
      <c r="B33" s="59">
        <f t="shared" si="2"/>
        <v>0</v>
      </c>
      <c r="C33" s="33">
        <f t="shared" si="3"/>
        <v>0</v>
      </c>
      <c r="D33" s="33">
        <f t="shared" si="3"/>
        <v>0</v>
      </c>
      <c r="E33" s="33">
        <f t="shared" si="3"/>
        <v>0</v>
      </c>
      <c r="F33" s="59"/>
      <c r="G33" s="33">
        <f t="shared" si="0"/>
        <v>0</v>
      </c>
    </row>
    <row r="34" spans="1:7" x14ac:dyDescent="0.3">
      <c r="A34" s="6">
        <v>43950</v>
      </c>
      <c r="B34" s="59">
        <f t="shared" si="2"/>
        <v>0</v>
      </c>
      <c r="C34" s="33">
        <f t="shared" si="3"/>
        <v>0</v>
      </c>
      <c r="D34" s="33">
        <f t="shared" si="3"/>
        <v>0</v>
      </c>
      <c r="E34" s="33">
        <f t="shared" si="3"/>
        <v>0</v>
      </c>
      <c r="F34" s="59"/>
      <c r="G34" s="33">
        <f t="shared" si="0"/>
        <v>0</v>
      </c>
    </row>
    <row r="35" spans="1:7" x14ac:dyDescent="0.3">
      <c r="A35" s="6">
        <v>43951</v>
      </c>
      <c r="B35" s="59"/>
      <c r="C35" s="59"/>
      <c r="D35" s="59"/>
      <c r="E35" s="59"/>
      <c r="F35" s="59"/>
      <c r="G35" s="33">
        <f t="shared" si="0"/>
        <v>0</v>
      </c>
    </row>
    <row r="36" spans="1:7" x14ac:dyDescent="0.3">
      <c r="A36" s="225"/>
      <c r="B36" s="226"/>
      <c r="C36" s="226"/>
      <c r="D36" s="226"/>
      <c r="E36" s="226"/>
      <c r="F36" s="59"/>
      <c r="G36" s="226"/>
    </row>
    <row r="37" spans="1:7" x14ac:dyDescent="0.3">
      <c r="A37" s="124"/>
    </row>
    <row r="38" spans="1:7" ht="15.6" customHeight="1" x14ac:dyDescent="0.3">
      <c r="A38" s="950" t="s">
        <v>2</v>
      </c>
      <c r="B38" s="951">
        <f>B4</f>
        <v>0</v>
      </c>
      <c r="C38" s="122">
        <f t="shared" ref="C38:E39" si="4">C4</f>
        <v>0</v>
      </c>
      <c r="D38" s="122">
        <f t="shared" si="4"/>
        <v>0</v>
      </c>
      <c r="E38" s="122">
        <f t="shared" si="4"/>
        <v>0</v>
      </c>
      <c r="F38" s="201"/>
      <c r="G38" s="946" t="s">
        <v>0</v>
      </c>
    </row>
    <row r="39" spans="1:7" ht="25.8" customHeight="1" x14ac:dyDescent="0.3">
      <c r="A39" s="950"/>
      <c r="B39" s="952"/>
      <c r="C39" s="123">
        <f t="shared" si="4"/>
        <v>0</v>
      </c>
      <c r="D39" s="123">
        <f t="shared" si="4"/>
        <v>0</v>
      </c>
      <c r="E39" s="123">
        <f t="shared" si="4"/>
        <v>0</v>
      </c>
      <c r="F39" s="202"/>
      <c r="G39" s="947"/>
    </row>
    <row r="40" spans="1:7" x14ac:dyDescent="0.3">
      <c r="A40" s="125" t="s">
        <v>95</v>
      </c>
      <c r="B40" s="190">
        <v>156.6267</v>
      </c>
      <c r="C40" s="126"/>
      <c r="D40" s="126"/>
      <c r="E40" s="126"/>
      <c r="F40" s="203"/>
      <c r="G40" s="126"/>
    </row>
    <row r="41" spans="1:7" x14ac:dyDescent="0.3">
      <c r="A41" s="6">
        <f t="shared" ref="A41:A70" si="5">A6</f>
        <v>43922</v>
      </c>
      <c r="B41" s="33">
        <f t="shared" ref="B41:E56" si="6">B6*B$40</f>
        <v>0</v>
      </c>
      <c r="C41" s="33">
        <f t="shared" si="6"/>
        <v>0</v>
      </c>
      <c r="D41" s="33">
        <f t="shared" si="6"/>
        <v>0</v>
      </c>
      <c r="E41" s="33">
        <f t="shared" si="6"/>
        <v>0</v>
      </c>
      <c r="F41" s="59"/>
      <c r="G41" s="33">
        <f t="shared" ref="G41:G70" si="7">SUM(B41:E41)</f>
        <v>0</v>
      </c>
    </row>
    <row r="42" spans="1:7" x14ac:dyDescent="0.3">
      <c r="A42" s="6">
        <f t="shared" si="5"/>
        <v>43923</v>
      </c>
      <c r="B42" s="33">
        <f t="shared" si="6"/>
        <v>0</v>
      </c>
      <c r="C42" s="33">
        <f t="shared" si="6"/>
        <v>0</v>
      </c>
      <c r="D42" s="33">
        <f t="shared" si="6"/>
        <v>0</v>
      </c>
      <c r="E42" s="33">
        <f t="shared" si="6"/>
        <v>0</v>
      </c>
      <c r="F42" s="59"/>
      <c r="G42" s="33">
        <f t="shared" si="7"/>
        <v>0</v>
      </c>
    </row>
    <row r="43" spans="1:7" x14ac:dyDescent="0.3">
      <c r="A43" s="6">
        <f t="shared" si="5"/>
        <v>43924</v>
      </c>
      <c r="B43" s="33">
        <f t="shared" si="6"/>
        <v>0</v>
      </c>
      <c r="C43" s="33">
        <f t="shared" si="6"/>
        <v>0</v>
      </c>
      <c r="D43" s="33">
        <f t="shared" si="6"/>
        <v>0</v>
      </c>
      <c r="E43" s="33">
        <f t="shared" si="6"/>
        <v>0</v>
      </c>
      <c r="F43" s="59"/>
      <c r="G43" s="33">
        <f t="shared" si="7"/>
        <v>0</v>
      </c>
    </row>
    <row r="44" spans="1:7" x14ac:dyDescent="0.3">
      <c r="A44" s="6">
        <f t="shared" si="5"/>
        <v>43925</v>
      </c>
      <c r="B44" s="33">
        <f t="shared" si="6"/>
        <v>0</v>
      </c>
      <c r="C44" s="33">
        <f t="shared" si="6"/>
        <v>0</v>
      </c>
      <c r="D44" s="33">
        <f t="shared" si="6"/>
        <v>0</v>
      </c>
      <c r="E44" s="33">
        <f t="shared" si="6"/>
        <v>0</v>
      </c>
      <c r="F44" s="59"/>
      <c r="G44" s="33">
        <f t="shared" si="7"/>
        <v>0</v>
      </c>
    </row>
    <row r="45" spans="1:7" x14ac:dyDescent="0.3">
      <c r="A45" s="6">
        <f t="shared" si="5"/>
        <v>43926</v>
      </c>
      <c r="B45" s="33">
        <f t="shared" si="6"/>
        <v>0</v>
      </c>
      <c r="C45" s="33">
        <f t="shared" si="6"/>
        <v>0</v>
      </c>
      <c r="D45" s="33">
        <f t="shared" si="6"/>
        <v>0</v>
      </c>
      <c r="E45" s="33">
        <f t="shared" si="6"/>
        <v>0</v>
      </c>
      <c r="F45" s="59"/>
      <c r="G45" s="33">
        <f t="shared" si="7"/>
        <v>0</v>
      </c>
    </row>
    <row r="46" spans="1:7" x14ac:dyDescent="0.3">
      <c r="A46" s="6">
        <f t="shared" si="5"/>
        <v>43927</v>
      </c>
      <c r="B46" s="33">
        <f t="shared" si="6"/>
        <v>0</v>
      </c>
      <c r="C46" s="33">
        <f t="shared" si="6"/>
        <v>0</v>
      </c>
      <c r="D46" s="33">
        <f t="shared" si="6"/>
        <v>0</v>
      </c>
      <c r="E46" s="33">
        <f t="shared" si="6"/>
        <v>0</v>
      </c>
      <c r="F46" s="59"/>
      <c r="G46" s="33">
        <f t="shared" si="7"/>
        <v>0</v>
      </c>
    </row>
    <row r="47" spans="1:7" x14ac:dyDescent="0.3">
      <c r="A47" s="6">
        <f t="shared" si="5"/>
        <v>43928</v>
      </c>
      <c r="B47" s="33">
        <f t="shared" si="6"/>
        <v>0</v>
      </c>
      <c r="C47" s="33">
        <f t="shared" si="6"/>
        <v>0</v>
      </c>
      <c r="D47" s="33">
        <f t="shared" si="6"/>
        <v>0</v>
      </c>
      <c r="E47" s="33">
        <f t="shared" si="6"/>
        <v>0</v>
      </c>
      <c r="F47" s="59"/>
      <c r="G47" s="33">
        <f t="shared" si="7"/>
        <v>0</v>
      </c>
    </row>
    <row r="48" spans="1:7" x14ac:dyDescent="0.3">
      <c r="A48" s="6">
        <f t="shared" si="5"/>
        <v>43929</v>
      </c>
      <c r="B48" s="33">
        <f t="shared" si="6"/>
        <v>0</v>
      </c>
      <c r="C48" s="33">
        <f t="shared" si="6"/>
        <v>0</v>
      </c>
      <c r="D48" s="33">
        <f t="shared" si="6"/>
        <v>0</v>
      </c>
      <c r="E48" s="33">
        <f t="shared" si="6"/>
        <v>0</v>
      </c>
      <c r="F48" s="59"/>
      <c r="G48" s="33">
        <f t="shared" si="7"/>
        <v>0</v>
      </c>
    </row>
    <row r="49" spans="1:7" x14ac:dyDescent="0.3">
      <c r="A49" s="6">
        <f t="shared" si="5"/>
        <v>43930</v>
      </c>
      <c r="B49" s="33">
        <f t="shared" si="6"/>
        <v>0</v>
      </c>
      <c r="C49" s="33">
        <f t="shared" si="6"/>
        <v>0</v>
      </c>
      <c r="D49" s="33">
        <f t="shared" si="6"/>
        <v>0</v>
      </c>
      <c r="E49" s="33">
        <f t="shared" si="6"/>
        <v>0</v>
      </c>
      <c r="F49" s="59"/>
      <c r="G49" s="33">
        <f t="shared" si="7"/>
        <v>0</v>
      </c>
    </row>
    <row r="50" spans="1:7" x14ac:dyDescent="0.3">
      <c r="A50" s="6">
        <f t="shared" si="5"/>
        <v>43931</v>
      </c>
      <c r="B50" s="33">
        <f t="shared" si="6"/>
        <v>0</v>
      </c>
      <c r="C50" s="33">
        <f t="shared" si="6"/>
        <v>0</v>
      </c>
      <c r="D50" s="33">
        <f t="shared" si="6"/>
        <v>0</v>
      </c>
      <c r="E50" s="33">
        <f t="shared" si="6"/>
        <v>0</v>
      </c>
      <c r="F50" s="59"/>
      <c r="G50" s="33">
        <f t="shared" si="7"/>
        <v>0</v>
      </c>
    </row>
    <row r="51" spans="1:7" x14ac:dyDescent="0.3">
      <c r="A51" s="6">
        <f t="shared" si="5"/>
        <v>43932</v>
      </c>
      <c r="B51" s="33">
        <f t="shared" si="6"/>
        <v>0</v>
      </c>
      <c r="C51" s="33">
        <f t="shared" si="6"/>
        <v>0</v>
      </c>
      <c r="D51" s="33">
        <f t="shared" si="6"/>
        <v>0</v>
      </c>
      <c r="E51" s="33">
        <f t="shared" si="6"/>
        <v>0</v>
      </c>
      <c r="F51" s="59"/>
      <c r="G51" s="33">
        <f t="shared" si="7"/>
        <v>0</v>
      </c>
    </row>
    <row r="52" spans="1:7" x14ac:dyDescent="0.3">
      <c r="A52" s="6">
        <f t="shared" si="5"/>
        <v>43933</v>
      </c>
      <c r="B52" s="33">
        <f t="shared" si="6"/>
        <v>0</v>
      </c>
      <c r="C52" s="33">
        <f t="shared" si="6"/>
        <v>0</v>
      </c>
      <c r="D52" s="33">
        <f t="shared" si="6"/>
        <v>0</v>
      </c>
      <c r="E52" s="33">
        <f t="shared" si="6"/>
        <v>0</v>
      </c>
      <c r="F52" s="59"/>
      <c r="G52" s="33">
        <f t="shared" si="7"/>
        <v>0</v>
      </c>
    </row>
    <row r="53" spans="1:7" x14ac:dyDescent="0.3">
      <c r="A53" s="6">
        <f t="shared" si="5"/>
        <v>43934</v>
      </c>
      <c r="B53" s="33">
        <f t="shared" si="6"/>
        <v>0</v>
      </c>
      <c r="C53" s="33">
        <f t="shared" si="6"/>
        <v>0</v>
      </c>
      <c r="D53" s="33">
        <f t="shared" si="6"/>
        <v>0</v>
      </c>
      <c r="E53" s="33">
        <f t="shared" si="6"/>
        <v>0</v>
      </c>
      <c r="F53" s="59"/>
      <c r="G53" s="33">
        <f t="shared" si="7"/>
        <v>0</v>
      </c>
    </row>
    <row r="54" spans="1:7" x14ac:dyDescent="0.3">
      <c r="A54" s="6">
        <f t="shared" si="5"/>
        <v>43935</v>
      </c>
      <c r="B54" s="33">
        <f t="shared" si="6"/>
        <v>0</v>
      </c>
      <c r="C54" s="33">
        <f t="shared" si="6"/>
        <v>0</v>
      </c>
      <c r="D54" s="33">
        <f t="shared" si="6"/>
        <v>0</v>
      </c>
      <c r="E54" s="33">
        <f t="shared" si="6"/>
        <v>0</v>
      </c>
      <c r="F54" s="59"/>
      <c r="G54" s="33">
        <f t="shared" si="7"/>
        <v>0</v>
      </c>
    </row>
    <row r="55" spans="1:7" x14ac:dyDescent="0.3">
      <c r="A55" s="6">
        <f t="shared" si="5"/>
        <v>43936</v>
      </c>
      <c r="B55" s="33">
        <f t="shared" si="6"/>
        <v>0</v>
      </c>
      <c r="C55" s="33">
        <f t="shared" si="6"/>
        <v>0</v>
      </c>
      <c r="D55" s="33">
        <f t="shared" si="6"/>
        <v>0</v>
      </c>
      <c r="E55" s="33">
        <f t="shared" si="6"/>
        <v>0</v>
      </c>
      <c r="F55" s="59"/>
      <c r="G55" s="33">
        <f t="shared" si="7"/>
        <v>0</v>
      </c>
    </row>
    <row r="56" spans="1:7" x14ac:dyDescent="0.3">
      <c r="A56" s="6">
        <f t="shared" si="5"/>
        <v>43937</v>
      </c>
      <c r="B56" s="33">
        <f t="shared" si="6"/>
        <v>0</v>
      </c>
      <c r="C56" s="33">
        <f t="shared" si="6"/>
        <v>0</v>
      </c>
      <c r="D56" s="33">
        <f t="shared" si="6"/>
        <v>0</v>
      </c>
      <c r="E56" s="33">
        <f t="shared" si="6"/>
        <v>0</v>
      </c>
      <c r="F56" s="59"/>
      <c r="G56" s="33">
        <f t="shared" si="7"/>
        <v>0</v>
      </c>
    </row>
    <row r="57" spans="1:7" x14ac:dyDescent="0.3">
      <c r="A57" s="6">
        <f t="shared" si="5"/>
        <v>43938</v>
      </c>
      <c r="B57" s="33">
        <f t="shared" ref="B57:E69" si="8">B22*B$40</f>
        <v>0</v>
      </c>
      <c r="C57" s="33">
        <f t="shared" si="8"/>
        <v>0</v>
      </c>
      <c r="D57" s="33">
        <f t="shared" si="8"/>
        <v>0</v>
      </c>
      <c r="E57" s="33">
        <f t="shared" si="8"/>
        <v>0</v>
      </c>
      <c r="F57" s="59"/>
      <c r="G57" s="33">
        <f t="shared" si="7"/>
        <v>0</v>
      </c>
    </row>
    <row r="58" spans="1:7" x14ac:dyDescent="0.3">
      <c r="A58" s="6">
        <f t="shared" si="5"/>
        <v>43939</v>
      </c>
      <c r="B58" s="33">
        <f t="shared" si="8"/>
        <v>0</v>
      </c>
      <c r="C58" s="33">
        <f t="shared" si="8"/>
        <v>0</v>
      </c>
      <c r="D58" s="33">
        <f t="shared" si="8"/>
        <v>0</v>
      </c>
      <c r="E58" s="33">
        <f t="shared" si="8"/>
        <v>0</v>
      </c>
      <c r="F58" s="59"/>
      <c r="G58" s="33">
        <f t="shared" si="7"/>
        <v>0</v>
      </c>
    </row>
    <row r="59" spans="1:7" x14ac:dyDescent="0.3">
      <c r="A59" s="6">
        <f t="shared" si="5"/>
        <v>43940</v>
      </c>
      <c r="B59" s="33">
        <f t="shared" si="8"/>
        <v>0</v>
      </c>
      <c r="C59" s="33">
        <f t="shared" si="8"/>
        <v>0</v>
      </c>
      <c r="D59" s="33">
        <f t="shared" si="8"/>
        <v>0</v>
      </c>
      <c r="E59" s="33">
        <f t="shared" si="8"/>
        <v>0</v>
      </c>
      <c r="F59" s="59"/>
      <c r="G59" s="33">
        <f t="shared" si="7"/>
        <v>0</v>
      </c>
    </row>
    <row r="60" spans="1:7" x14ac:dyDescent="0.3">
      <c r="A60" s="6">
        <f t="shared" si="5"/>
        <v>43941</v>
      </c>
      <c r="B60" s="33">
        <f t="shared" si="8"/>
        <v>0</v>
      </c>
      <c r="C60" s="33">
        <f t="shared" si="8"/>
        <v>0</v>
      </c>
      <c r="D60" s="33">
        <f t="shared" si="8"/>
        <v>0</v>
      </c>
      <c r="E60" s="33">
        <f t="shared" si="8"/>
        <v>0</v>
      </c>
      <c r="F60" s="59"/>
      <c r="G60" s="33">
        <f t="shared" si="7"/>
        <v>0</v>
      </c>
    </row>
    <row r="61" spans="1:7" x14ac:dyDescent="0.3">
      <c r="A61" s="6">
        <f t="shared" si="5"/>
        <v>43942</v>
      </c>
      <c r="B61" s="33">
        <f t="shared" si="8"/>
        <v>0</v>
      </c>
      <c r="C61" s="33">
        <f t="shared" si="8"/>
        <v>0</v>
      </c>
      <c r="D61" s="33">
        <f t="shared" si="8"/>
        <v>0</v>
      </c>
      <c r="E61" s="33">
        <f t="shared" si="8"/>
        <v>0</v>
      </c>
      <c r="F61" s="59"/>
      <c r="G61" s="33">
        <f t="shared" si="7"/>
        <v>0</v>
      </c>
    </row>
    <row r="62" spans="1:7" x14ac:dyDescent="0.3">
      <c r="A62" s="6">
        <f t="shared" si="5"/>
        <v>43943</v>
      </c>
      <c r="B62" s="33">
        <f t="shared" si="8"/>
        <v>0</v>
      </c>
      <c r="C62" s="33">
        <f t="shared" si="8"/>
        <v>0</v>
      </c>
      <c r="D62" s="33">
        <f t="shared" si="8"/>
        <v>0</v>
      </c>
      <c r="E62" s="33">
        <f t="shared" si="8"/>
        <v>0</v>
      </c>
      <c r="F62" s="59"/>
      <c r="G62" s="33">
        <f t="shared" si="7"/>
        <v>0</v>
      </c>
    </row>
    <row r="63" spans="1:7" x14ac:dyDescent="0.3">
      <c r="A63" s="6">
        <f t="shared" si="5"/>
        <v>43944</v>
      </c>
      <c r="B63" s="33">
        <f t="shared" si="8"/>
        <v>0</v>
      </c>
      <c r="C63" s="33">
        <f t="shared" si="8"/>
        <v>0</v>
      </c>
      <c r="D63" s="33">
        <f t="shared" si="8"/>
        <v>0</v>
      </c>
      <c r="E63" s="33">
        <f t="shared" si="8"/>
        <v>0</v>
      </c>
      <c r="F63" s="59"/>
      <c r="G63" s="33">
        <f t="shared" si="7"/>
        <v>0</v>
      </c>
    </row>
    <row r="64" spans="1:7" x14ac:dyDescent="0.3">
      <c r="A64" s="6">
        <f t="shared" si="5"/>
        <v>43945</v>
      </c>
      <c r="B64" s="33">
        <f t="shared" si="8"/>
        <v>0</v>
      </c>
      <c r="C64" s="33">
        <f t="shared" si="8"/>
        <v>0</v>
      </c>
      <c r="D64" s="33">
        <f t="shared" si="8"/>
        <v>0</v>
      </c>
      <c r="E64" s="33">
        <f t="shared" si="8"/>
        <v>0</v>
      </c>
      <c r="F64" s="59"/>
      <c r="G64" s="33">
        <f t="shared" si="7"/>
        <v>0</v>
      </c>
    </row>
    <row r="65" spans="1:7" x14ac:dyDescent="0.3">
      <c r="A65" s="6">
        <f t="shared" si="5"/>
        <v>43946</v>
      </c>
      <c r="B65" s="33">
        <f t="shared" si="8"/>
        <v>0</v>
      </c>
      <c r="C65" s="33">
        <f t="shared" si="8"/>
        <v>0</v>
      </c>
      <c r="D65" s="33">
        <f t="shared" si="8"/>
        <v>0</v>
      </c>
      <c r="E65" s="33">
        <f t="shared" si="8"/>
        <v>0</v>
      </c>
      <c r="F65" s="59"/>
      <c r="G65" s="33">
        <f t="shared" si="7"/>
        <v>0</v>
      </c>
    </row>
    <row r="66" spans="1:7" x14ac:dyDescent="0.3">
      <c r="A66" s="6">
        <f t="shared" si="5"/>
        <v>43947</v>
      </c>
      <c r="B66" s="33">
        <f t="shared" si="8"/>
        <v>0</v>
      </c>
      <c r="C66" s="33">
        <f t="shared" si="8"/>
        <v>0</v>
      </c>
      <c r="D66" s="33">
        <f t="shared" si="8"/>
        <v>0</v>
      </c>
      <c r="E66" s="33">
        <f t="shared" si="8"/>
        <v>0</v>
      </c>
      <c r="F66" s="59"/>
      <c r="G66" s="33">
        <f t="shared" si="7"/>
        <v>0</v>
      </c>
    </row>
    <row r="67" spans="1:7" x14ac:dyDescent="0.3">
      <c r="A67" s="6">
        <f t="shared" si="5"/>
        <v>43948</v>
      </c>
      <c r="B67" s="33">
        <f t="shared" si="8"/>
        <v>0</v>
      </c>
      <c r="C67" s="33">
        <f t="shared" si="8"/>
        <v>0</v>
      </c>
      <c r="D67" s="33">
        <f t="shared" si="8"/>
        <v>0</v>
      </c>
      <c r="E67" s="33">
        <f t="shared" si="8"/>
        <v>0</v>
      </c>
      <c r="F67" s="59"/>
      <c r="G67" s="33">
        <f t="shared" si="7"/>
        <v>0</v>
      </c>
    </row>
    <row r="68" spans="1:7" x14ac:dyDescent="0.3">
      <c r="A68" s="6">
        <f t="shared" si="5"/>
        <v>43949</v>
      </c>
      <c r="B68" s="33">
        <f t="shared" si="8"/>
        <v>0</v>
      </c>
      <c r="C68" s="33">
        <f t="shared" si="8"/>
        <v>0</v>
      </c>
      <c r="D68" s="33">
        <f t="shared" si="8"/>
        <v>0</v>
      </c>
      <c r="E68" s="33">
        <f t="shared" si="8"/>
        <v>0</v>
      </c>
      <c r="F68" s="59"/>
      <c r="G68" s="33">
        <f t="shared" si="7"/>
        <v>0</v>
      </c>
    </row>
    <row r="69" spans="1:7" x14ac:dyDescent="0.3">
      <c r="A69" s="6">
        <f t="shared" si="5"/>
        <v>43950</v>
      </c>
      <c r="B69" s="33">
        <f t="shared" si="8"/>
        <v>0</v>
      </c>
      <c r="C69" s="33">
        <f t="shared" si="8"/>
        <v>0</v>
      </c>
      <c r="D69" s="33">
        <f t="shared" si="8"/>
        <v>0</v>
      </c>
      <c r="E69" s="33">
        <f t="shared" si="8"/>
        <v>0</v>
      </c>
      <c r="F69" s="59"/>
      <c r="G69" s="33">
        <f t="shared" si="7"/>
        <v>0</v>
      </c>
    </row>
    <row r="70" spans="1:7" x14ac:dyDescent="0.3">
      <c r="A70" s="6">
        <f t="shared" si="5"/>
        <v>43951</v>
      </c>
      <c r="B70" s="33">
        <f>B35*B$40</f>
        <v>0</v>
      </c>
      <c r="C70" s="33">
        <f>C35*C$40</f>
        <v>0</v>
      </c>
      <c r="D70" s="33">
        <f>D35*D$40</f>
        <v>0</v>
      </c>
      <c r="E70" s="33">
        <f>E35*E$40</f>
        <v>0</v>
      </c>
      <c r="F70" s="59"/>
      <c r="G70" s="33">
        <f t="shared" si="7"/>
        <v>0</v>
      </c>
    </row>
    <row r="71" spans="1:7" x14ac:dyDescent="0.3">
      <c r="A71" s="225"/>
      <c r="B71" s="226"/>
      <c r="C71" s="226"/>
      <c r="D71" s="226"/>
      <c r="E71" s="226"/>
      <c r="F71" s="59"/>
      <c r="G71" s="226"/>
    </row>
    <row r="72" spans="1:7" x14ac:dyDescent="0.3">
      <c r="A72" s="120" t="s">
        <v>96</v>
      </c>
    </row>
    <row r="73" spans="1:7" ht="15.6" customHeight="1" x14ac:dyDescent="0.3">
      <c r="A73" s="944" t="s">
        <v>2</v>
      </c>
      <c r="B73" s="946">
        <f>B4</f>
        <v>0</v>
      </c>
      <c r="C73" s="122">
        <f t="shared" ref="C73:E74" si="9">C4</f>
        <v>0</v>
      </c>
      <c r="D73" s="122">
        <f t="shared" si="9"/>
        <v>0</v>
      </c>
      <c r="E73" s="122">
        <f t="shared" si="9"/>
        <v>0</v>
      </c>
      <c r="F73" s="201"/>
      <c r="G73" s="946" t="s">
        <v>0</v>
      </c>
    </row>
    <row r="74" spans="1:7" ht="24.6" customHeight="1" x14ac:dyDescent="0.3">
      <c r="A74" s="945"/>
      <c r="B74" s="947"/>
      <c r="C74" s="123">
        <f t="shared" si="9"/>
        <v>0</v>
      </c>
      <c r="D74" s="123">
        <f t="shared" si="9"/>
        <v>0</v>
      </c>
      <c r="E74" s="123">
        <f t="shared" si="9"/>
        <v>0</v>
      </c>
      <c r="F74" s="202"/>
      <c r="G74" s="947"/>
    </row>
    <row r="75" spans="1:7" x14ac:dyDescent="0.3">
      <c r="A75" s="125" t="s">
        <v>97</v>
      </c>
      <c r="B75" s="191"/>
      <c r="C75" s="127"/>
      <c r="D75" s="127"/>
      <c r="E75" s="127"/>
      <c r="F75" s="204"/>
      <c r="G75" s="126"/>
    </row>
    <row r="76" spans="1:7" x14ac:dyDescent="0.3">
      <c r="A76" s="6">
        <f t="shared" ref="A76:A105" si="10">A41</f>
        <v>43922</v>
      </c>
      <c r="B76" s="33">
        <f>IF(B6&lt;0,0,B6*B$75/366)</f>
        <v>0</v>
      </c>
      <c r="C76" s="33">
        <f>IF(C6&lt;0,0,C6*C$75/366)</f>
        <v>0</v>
      </c>
      <c r="D76" s="33">
        <f>IF(D6&lt;0,0,D6*D$75/366)</f>
        <v>0</v>
      </c>
      <c r="E76" s="33">
        <f>IF(E6&lt;0,0,E6*E$75/366)</f>
        <v>0</v>
      </c>
      <c r="F76" s="59"/>
      <c r="G76" s="33">
        <f t="shared" ref="G76:G105" si="11">SUM(B76:E76)</f>
        <v>0</v>
      </c>
    </row>
    <row r="77" spans="1:7" x14ac:dyDescent="0.3">
      <c r="A77" s="6">
        <f t="shared" si="10"/>
        <v>43923</v>
      </c>
      <c r="B77" s="33">
        <f t="shared" ref="B77:E104" si="12">IF(B7&lt;0,0,B7*B$75/366)</f>
        <v>0</v>
      </c>
      <c r="C77" s="33">
        <f t="shared" si="12"/>
        <v>0</v>
      </c>
      <c r="D77" s="33">
        <f t="shared" si="12"/>
        <v>0</v>
      </c>
      <c r="E77" s="33">
        <f t="shared" si="12"/>
        <v>0</v>
      </c>
      <c r="F77" s="59"/>
      <c r="G77" s="33">
        <f t="shared" si="11"/>
        <v>0</v>
      </c>
    </row>
    <row r="78" spans="1:7" x14ac:dyDescent="0.3">
      <c r="A78" s="6">
        <f t="shared" si="10"/>
        <v>43924</v>
      </c>
      <c r="B78" s="33">
        <f t="shared" si="12"/>
        <v>0</v>
      </c>
      <c r="C78" s="33">
        <f t="shared" si="12"/>
        <v>0</v>
      </c>
      <c r="D78" s="33">
        <f t="shared" si="12"/>
        <v>0</v>
      </c>
      <c r="E78" s="33">
        <f t="shared" si="12"/>
        <v>0</v>
      </c>
      <c r="F78" s="59"/>
      <c r="G78" s="33">
        <f t="shared" si="11"/>
        <v>0</v>
      </c>
    </row>
    <row r="79" spans="1:7" x14ac:dyDescent="0.3">
      <c r="A79" s="6">
        <f t="shared" si="10"/>
        <v>43925</v>
      </c>
      <c r="B79" s="33">
        <f t="shared" si="12"/>
        <v>0</v>
      </c>
      <c r="C79" s="33">
        <f t="shared" si="12"/>
        <v>0</v>
      </c>
      <c r="D79" s="33">
        <f t="shared" si="12"/>
        <v>0</v>
      </c>
      <c r="E79" s="33">
        <f t="shared" si="12"/>
        <v>0</v>
      </c>
      <c r="F79" s="59"/>
      <c r="G79" s="33">
        <f t="shared" si="11"/>
        <v>0</v>
      </c>
    </row>
    <row r="80" spans="1:7" x14ac:dyDescent="0.3">
      <c r="A80" s="6">
        <f t="shared" si="10"/>
        <v>43926</v>
      </c>
      <c r="B80" s="33">
        <f t="shared" si="12"/>
        <v>0</v>
      </c>
      <c r="C80" s="33">
        <f t="shared" si="12"/>
        <v>0</v>
      </c>
      <c r="D80" s="33">
        <f t="shared" si="12"/>
        <v>0</v>
      </c>
      <c r="E80" s="33">
        <f t="shared" si="12"/>
        <v>0</v>
      </c>
      <c r="F80" s="59"/>
      <c r="G80" s="33">
        <f t="shared" si="11"/>
        <v>0</v>
      </c>
    </row>
    <row r="81" spans="1:7" x14ac:dyDescent="0.3">
      <c r="A81" s="6">
        <f t="shared" si="10"/>
        <v>43927</v>
      </c>
      <c r="B81" s="33">
        <f t="shared" si="12"/>
        <v>0</v>
      </c>
      <c r="C81" s="33">
        <f t="shared" si="12"/>
        <v>0</v>
      </c>
      <c r="D81" s="33">
        <f t="shared" si="12"/>
        <v>0</v>
      </c>
      <c r="E81" s="33">
        <f t="shared" si="12"/>
        <v>0</v>
      </c>
      <c r="F81" s="59"/>
      <c r="G81" s="33">
        <f t="shared" si="11"/>
        <v>0</v>
      </c>
    </row>
    <row r="82" spans="1:7" x14ac:dyDescent="0.3">
      <c r="A82" s="6">
        <f t="shared" si="10"/>
        <v>43928</v>
      </c>
      <c r="B82" s="33">
        <f t="shared" si="12"/>
        <v>0</v>
      </c>
      <c r="C82" s="33">
        <f t="shared" si="12"/>
        <v>0</v>
      </c>
      <c r="D82" s="33">
        <f t="shared" si="12"/>
        <v>0</v>
      </c>
      <c r="E82" s="33">
        <f t="shared" si="12"/>
        <v>0</v>
      </c>
      <c r="F82" s="59"/>
      <c r="G82" s="33">
        <f t="shared" si="11"/>
        <v>0</v>
      </c>
    </row>
    <row r="83" spans="1:7" x14ac:dyDescent="0.3">
      <c r="A83" s="6">
        <f t="shared" si="10"/>
        <v>43929</v>
      </c>
      <c r="B83" s="33">
        <f t="shared" si="12"/>
        <v>0</v>
      </c>
      <c r="C83" s="33">
        <f t="shared" si="12"/>
        <v>0</v>
      </c>
      <c r="D83" s="33">
        <f t="shared" si="12"/>
        <v>0</v>
      </c>
      <c r="E83" s="33">
        <f t="shared" si="12"/>
        <v>0</v>
      </c>
      <c r="F83" s="59"/>
      <c r="G83" s="33">
        <f t="shared" si="11"/>
        <v>0</v>
      </c>
    </row>
    <row r="84" spans="1:7" x14ac:dyDescent="0.3">
      <c r="A84" s="6">
        <f t="shared" si="10"/>
        <v>43930</v>
      </c>
      <c r="B84" s="33">
        <f t="shared" si="12"/>
        <v>0</v>
      </c>
      <c r="C84" s="33">
        <f t="shared" si="12"/>
        <v>0</v>
      </c>
      <c r="D84" s="33">
        <f t="shared" si="12"/>
        <v>0</v>
      </c>
      <c r="E84" s="33">
        <f t="shared" si="12"/>
        <v>0</v>
      </c>
      <c r="F84" s="59"/>
      <c r="G84" s="33">
        <f t="shared" si="11"/>
        <v>0</v>
      </c>
    </row>
    <row r="85" spans="1:7" x14ac:dyDescent="0.3">
      <c r="A85" s="6">
        <f t="shared" si="10"/>
        <v>43931</v>
      </c>
      <c r="B85" s="33">
        <f t="shared" si="12"/>
        <v>0</v>
      </c>
      <c r="C85" s="33">
        <f t="shared" si="12"/>
        <v>0</v>
      </c>
      <c r="D85" s="33">
        <f t="shared" si="12"/>
        <v>0</v>
      </c>
      <c r="E85" s="33">
        <f t="shared" si="12"/>
        <v>0</v>
      </c>
      <c r="F85" s="59"/>
      <c r="G85" s="33">
        <f t="shared" si="11"/>
        <v>0</v>
      </c>
    </row>
    <row r="86" spans="1:7" x14ac:dyDescent="0.3">
      <c r="A86" s="6">
        <f t="shared" si="10"/>
        <v>43932</v>
      </c>
      <c r="B86" s="33">
        <f t="shared" si="12"/>
        <v>0</v>
      </c>
      <c r="C86" s="33">
        <f t="shared" si="12"/>
        <v>0</v>
      </c>
      <c r="D86" s="33">
        <f t="shared" si="12"/>
        <v>0</v>
      </c>
      <c r="E86" s="33">
        <f t="shared" si="12"/>
        <v>0</v>
      </c>
      <c r="F86" s="59"/>
      <c r="G86" s="33">
        <f t="shared" si="11"/>
        <v>0</v>
      </c>
    </row>
    <row r="87" spans="1:7" x14ac:dyDescent="0.3">
      <c r="A87" s="6">
        <f t="shared" si="10"/>
        <v>43933</v>
      </c>
      <c r="B87" s="33">
        <f t="shared" si="12"/>
        <v>0</v>
      </c>
      <c r="C87" s="33">
        <f t="shared" si="12"/>
        <v>0</v>
      </c>
      <c r="D87" s="33">
        <f t="shared" si="12"/>
        <v>0</v>
      </c>
      <c r="E87" s="33">
        <f t="shared" si="12"/>
        <v>0</v>
      </c>
      <c r="F87" s="59"/>
      <c r="G87" s="33">
        <f t="shared" si="11"/>
        <v>0</v>
      </c>
    </row>
    <row r="88" spans="1:7" x14ac:dyDescent="0.3">
      <c r="A88" s="6">
        <f t="shared" si="10"/>
        <v>43934</v>
      </c>
      <c r="B88" s="33">
        <f t="shared" si="12"/>
        <v>0</v>
      </c>
      <c r="C88" s="33">
        <f t="shared" si="12"/>
        <v>0</v>
      </c>
      <c r="D88" s="33">
        <f t="shared" si="12"/>
        <v>0</v>
      </c>
      <c r="E88" s="33">
        <f t="shared" si="12"/>
        <v>0</v>
      </c>
      <c r="F88" s="59"/>
      <c r="G88" s="33">
        <f t="shared" si="11"/>
        <v>0</v>
      </c>
    </row>
    <row r="89" spans="1:7" x14ac:dyDescent="0.3">
      <c r="A89" s="6">
        <f t="shared" si="10"/>
        <v>43935</v>
      </c>
      <c r="B89" s="33">
        <f t="shared" si="12"/>
        <v>0</v>
      </c>
      <c r="C89" s="33">
        <f t="shared" si="12"/>
        <v>0</v>
      </c>
      <c r="D89" s="33">
        <f t="shared" si="12"/>
        <v>0</v>
      </c>
      <c r="E89" s="33">
        <f t="shared" si="12"/>
        <v>0</v>
      </c>
      <c r="F89" s="59"/>
      <c r="G89" s="33">
        <f t="shared" si="11"/>
        <v>0</v>
      </c>
    </row>
    <row r="90" spans="1:7" x14ac:dyDescent="0.3">
      <c r="A90" s="6">
        <f t="shared" si="10"/>
        <v>43936</v>
      </c>
      <c r="B90" s="33">
        <f t="shared" si="12"/>
        <v>0</v>
      </c>
      <c r="C90" s="33">
        <f t="shared" si="12"/>
        <v>0</v>
      </c>
      <c r="D90" s="33">
        <f t="shared" si="12"/>
        <v>0</v>
      </c>
      <c r="E90" s="33">
        <f t="shared" si="12"/>
        <v>0</v>
      </c>
      <c r="F90" s="59"/>
      <c r="G90" s="33">
        <f t="shared" si="11"/>
        <v>0</v>
      </c>
    </row>
    <row r="91" spans="1:7" x14ac:dyDescent="0.3">
      <c r="A91" s="6">
        <f t="shared" si="10"/>
        <v>43937</v>
      </c>
      <c r="B91" s="33">
        <f t="shared" si="12"/>
        <v>0</v>
      </c>
      <c r="C91" s="33">
        <f t="shared" si="12"/>
        <v>0</v>
      </c>
      <c r="D91" s="33">
        <f t="shared" si="12"/>
        <v>0</v>
      </c>
      <c r="E91" s="33">
        <f t="shared" si="12"/>
        <v>0</v>
      </c>
      <c r="F91" s="59"/>
      <c r="G91" s="33">
        <f t="shared" si="11"/>
        <v>0</v>
      </c>
    </row>
    <row r="92" spans="1:7" x14ac:dyDescent="0.3">
      <c r="A92" s="6">
        <f t="shared" si="10"/>
        <v>43938</v>
      </c>
      <c r="B92" s="33">
        <f t="shared" si="12"/>
        <v>0</v>
      </c>
      <c r="C92" s="33">
        <f t="shared" si="12"/>
        <v>0</v>
      </c>
      <c r="D92" s="33">
        <f t="shared" si="12"/>
        <v>0</v>
      </c>
      <c r="E92" s="33">
        <f t="shared" si="12"/>
        <v>0</v>
      </c>
      <c r="F92" s="59"/>
      <c r="G92" s="33">
        <f t="shared" si="11"/>
        <v>0</v>
      </c>
    </row>
    <row r="93" spans="1:7" x14ac:dyDescent="0.3">
      <c r="A93" s="6">
        <f t="shared" si="10"/>
        <v>43939</v>
      </c>
      <c r="B93" s="33">
        <f t="shared" si="12"/>
        <v>0</v>
      </c>
      <c r="C93" s="33">
        <f t="shared" si="12"/>
        <v>0</v>
      </c>
      <c r="D93" s="33">
        <f t="shared" si="12"/>
        <v>0</v>
      </c>
      <c r="E93" s="33">
        <f t="shared" si="12"/>
        <v>0</v>
      </c>
      <c r="F93" s="59"/>
      <c r="G93" s="33">
        <f t="shared" si="11"/>
        <v>0</v>
      </c>
    </row>
    <row r="94" spans="1:7" x14ac:dyDescent="0.3">
      <c r="A94" s="6">
        <f t="shared" si="10"/>
        <v>43940</v>
      </c>
      <c r="B94" s="33">
        <f t="shared" si="12"/>
        <v>0</v>
      </c>
      <c r="C94" s="33">
        <f t="shared" si="12"/>
        <v>0</v>
      </c>
      <c r="D94" s="33">
        <f t="shared" si="12"/>
        <v>0</v>
      </c>
      <c r="E94" s="33">
        <f t="shared" si="12"/>
        <v>0</v>
      </c>
      <c r="F94" s="59"/>
      <c r="G94" s="33">
        <f t="shared" si="11"/>
        <v>0</v>
      </c>
    </row>
    <row r="95" spans="1:7" x14ac:dyDescent="0.3">
      <c r="A95" s="6">
        <f t="shared" si="10"/>
        <v>43941</v>
      </c>
      <c r="B95" s="33">
        <f t="shared" si="12"/>
        <v>0</v>
      </c>
      <c r="C95" s="33">
        <f t="shared" si="12"/>
        <v>0</v>
      </c>
      <c r="D95" s="33">
        <f t="shared" si="12"/>
        <v>0</v>
      </c>
      <c r="E95" s="33">
        <f t="shared" si="12"/>
        <v>0</v>
      </c>
      <c r="F95" s="59"/>
      <c r="G95" s="33">
        <f t="shared" si="11"/>
        <v>0</v>
      </c>
    </row>
    <row r="96" spans="1:7" x14ac:dyDescent="0.3">
      <c r="A96" s="6">
        <f t="shared" si="10"/>
        <v>43942</v>
      </c>
      <c r="B96" s="33">
        <f t="shared" si="12"/>
        <v>0</v>
      </c>
      <c r="C96" s="33">
        <f t="shared" si="12"/>
        <v>0</v>
      </c>
      <c r="D96" s="33">
        <f t="shared" si="12"/>
        <v>0</v>
      </c>
      <c r="E96" s="33">
        <f t="shared" si="12"/>
        <v>0</v>
      </c>
      <c r="F96" s="59"/>
      <c r="G96" s="33">
        <f t="shared" si="11"/>
        <v>0</v>
      </c>
    </row>
    <row r="97" spans="1:7" x14ac:dyDescent="0.3">
      <c r="A97" s="6">
        <f t="shared" si="10"/>
        <v>43943</v>
      </c>
      <c r="B97" s="33">
        <f t="shared" si="12"/>
        <v>0</v>
      </c>
      <c r="C97" s="33">
        <f t="shared" si="12"/>
        <v>0</v>
      </c>
      <c r="D97" s="33">
        <f t="shared" si="12"/>
        <v>0</v>
      </c>
      <c r="E97" s="33">
        <f t="shared" si="12"/>
        <v>0</v>
      </c>
      <c r="F97" s="59"/>
      <c r="G97" s="33">
        <f t="shared" si="11"/>
        <v>0</v>
      </c>
    </row>
    <row r="98" spans="1:7" x14ac:dyDescent="0.3">
      <c r="A98" s="6">
        <f t="shared" si="10"/>
        <v>43944</v>
      </c>
      <c r="B98" s="33">
        <f t="shared" si="12"/>
        <v>0</v>
      </c>
      <c r="C98" s="33">
        <f t="shared" si="12"/>
        <v>0</v>
      </c>
      <c r="D98" s="33">
        <f t="shared" si="12"/>
        <v>0</v>
      </c>
      <c r="E98" s="33">
        <f t="shared" si="12"/>
        <v>0</v>
      </c>
      <c r="F98" s="59"/>
      <c r="G98" s="33">
        <f t="shared" si="11"/>
        <v>0</v>
      </c>
    </row>
    <row r="99" spans="1:7" x14ac:dyDescent="0.3">
      <c r="A99" s="6">
        <f t="shared" si="10"/>
        <v>43945</v>
      </c>
      <c r="B99" s="33">
        <f t="shared" si="12"/>
        <v>0</v>
      </c>
      <c r="C99" s="33">
        <f t="shared" si="12"/>
        <v>0</v>
      </c>
      <c r="D99" s="33">
        <f t="shared" si="12"/>
        <v>0</v>
      </c>
      <c r="E99" s="33">
        <f t="shared" si="12"/>
        <v>0</v>
      </c>
      <c r="F99" s="59"/>
      <c r="G99" s="33">
        <f t="shared" si="11"/>
        <v>0</v>
      </c>
    </row>
    <row r="100" spans="1:7" x14ac:dyDescent="0.3">
      <c r="A100" s="6">
        <f t="shared" si="10"/>
        <v>43946</v>
      </c>
      <c r="B100" s="33">
        <f t="shared" si="12"/>
        <v>0</v>
      </c>
      <c r="C100" s="33">
        <f t="shared" si="12"/>
        <v>0</v>
      </c>
      <c r="D100" s="33">
        <f t="shared" si="12"/>
        <v>0</v>
      </c>
      <c r="E100" s="33">
        <f t="shared" si="12"/>
        <v>0</v>
      </c>
      <c r="F100" s="59"/>
      <c r="G100" s="33">
        <f t="shared" si="11"/>
        <v>0</v>
      </c>
    </row>
    <row r="101" spans="1:7" x14ac:dyDescent="0.3">
      <c r="A101" s="6">
        <f t="shared" si="10"/>
        <v>43947</v>
      </c>
      <c r="B101" s="33">
        <f t="shared" si="12"/>
        <v>0</v>
      </c>
      <c r="C101" s="33">
        <f t="shared" si="12"/>
        <v>0</v>
      </c>
      <c r="D101" s="33">
        <f t="shared" si="12"/>
        <v>0</v>
      </c>
      <c r="E101" s="33">
        <f t="shared" si="12"/>
        <v>0</v>
      </c>
      <c r="F101" s="59"/>
      <c r="G101" s="33">
        <f t="shared" si="11"/>
        <v>0</v>
      </c>
    </row>
    <row r="102" spans="1:7" x14ac:dyDescent="0.3">
      <c r="A102" s="6">
        <f t="shared" si="10"/>
        <v>43948</v>
      </c>
      <c r="B102" s="33">
        <f t="shared" si="12"/>
        <v>0</v>
      </c>
      <c r="C102" s="33">
        <f t="shared" si="12"/>
        <v>0</v>
      </c>
      <c r="D102" s="33">
        <f t="shared" si="12"/>
        <v>0</v>
      </c>
      <c r="E102" s="33">
        <f t="shared" si="12"/>
        <v>0</v>
      </c>
      <c r="F102" s="59"/>
      <c r="G102" s="33">
        <f t="shared" si="11"/>
        <v>0</v>
      </c>
    </row>
    <row r="103" spans="1:7" x14ac:dyDescent="0.3">
      <c r="A103" s="6">
        <f t="shared" si="10"/>
        <v>43949</v>
      </c>
      <c r="B103" s="33">
        <f t="shared" si="12"/>
        <v>0</v>
      </c>
      <c r="C103" s="33">
        <f t="shared" si="12"/>
        <v>0</v>
      </c>
      <c r="D103" s="33">
        <f t="shared" si="12"/>
        <v>0</v>
      </c>
      <c r="E103" s="33">
        <f t="shared" si="12"/>
        <v>0</v>
      </c>
      <c r="F103" s="59"/>
      <c r="G103" s="33">
        <f t="shared" si="11"/>
        <v>0</v>
      </c>
    </row>
    <row r="104" spans="1:7" x14ac:dyDescent="0.3">
      <c r="A104" s="6">
        <f t="shared" si="10"/>
        <v>43950</v>
      </c>
      <c r="B104" s="33">
        <f t="shared" si="12"/>
        <v>0</v>
      </c>
      <c r="C104" s="33">
        <f t="shared" si="12"/>
        <v>0</v>
      </c>
      <c r="D104" s="33">
        <f t="shared" si="12"/>
        <v>0</v>
      </c>
      <c r="E104" s="33">
        <f t="shared" si="12"/>
        <v>0</v>
      </c>
      <c r="F104" s="59"/>
      <c r="G104" s="33">
        <f t="shared" si="11"/>
        <v>0</v>
      </c>
    </row>
    <row r="105" spans="1:7" x14ac:dyDescent="0.3">
      <c r="A105" s="6">
        <f t="shared" si="10"/>
        <v>43951</v>
      </c>
      <c r="B105" s="33">
        <f>IF(B35&lt;0,0,B35*B$75/366)</f>
        <v>0</v>
      </c>
      <c r="C105" s="33">
        <f>IF(C35&lt;0,0,C35*C$75/366)</f>
        <v>0</v>
      </c>
      <c r="D105" s="33">
        <f>IF(D35&lt;0,0,D35*D$75/366)</f>
        <v>0</v>
      </c>
      <c r="E105" s="33">
        <f>IF(E35&lt;0,0,E35*E$75/366)</f>
        <v>0</v>
      </c>
      <c r="F105" s="59"/>
      <c r="G105" s="33">
        <f t="shared" si="11"/>
        <v>0</v>
      </c>
    </row>
    <row r="106" spans="1:7" x14ac:dyDescent="0.3">
      <c r="A106" s="225"/>
      <c r="B106" s="226"/>
      <c r="C106" s="226"/>
      <c r="D106" s="226"/>
      <c r="E106" s="226"/>
      <c r="F106" s="59"/>
      <c r="G106" s="226"/>
    </row>
    <row r="107" spans="1:7" x14ac:dyDescent="0.3">
      <c r="A107" s="165" t="s">
        <v>0</v>
      </c>
      <c r="B107" s="164">
        <f>SUM(B76:B106)</f>
        <v>0</v>
      </c>
      <c r="C107" s="164">
        <f>SUM(C76:C106)</f>
        <v>0</v>
      </c>
      <c r="D107" s="164">
        <f>SUM(D76:D106)</f>
        <v>0</v>
      </c>
      <c r="E107" s="164">
        <f>SUM(E76:E106)</f>
        <v>0</v>
      </c>
      <c r="F107" s="59"/>
      <c r="G107" s="164">
        <f>SUM(G76:G106)</f>
        <v>0</v>
      </c>
    </row>
    <row r="109" spans="1:7" x14ac:dyDescent="0.3">
      <c r="A109" s="120" t="s">
        <v>98</v>
      </c>
    </row>
    <row r="110" spans="1:7" x14ac:dyDescent="0.3">
      <c r="A110" s="121"/>
      <c r="B110" s="946">
        <f>B4</f>
        <v>0</v>
      </c>
      <c r="C110" s="122">
        <f t="shared" ref="C110:E111" si="13">C4</f>
        <v>0</v>
      </c>
      <c r="D110" s="122">
        <f t="shared" si="13"/>
        <v>0</v>
      </c>
      <c r="E110" s="122">
        <f t="shared" si="13"/>
        <v>0</v>
      </c>
      <c r="F110" s="201"/>
      <c r="G110" s="122"/>
    </row>
    <row r="111" spans="1:7" ht="25.8" customHeight="1" x14ac:dyDescent="0.3">
      <c r="A111" s="128"/>
      <c r="B111" s="953"/>
      <c r="C111" s="129">
        <f t="shared" si="13"/>
        <v>0</v>
      </c>
      <c r="D111" s="129">
        <f t="shared" si="13"/>
        <v>0</v>
      </c>
      <c r="E111" s="129">
        <f t="shared" si="13"/>
        <v>0</v>
      </c>
      <c r="F111" s="205"/>
      <c r="G111" s="130" t="s">
        <v>0</v>
      </c>
    </row>
    <row r="112" spans="1:7" x14ac:dyDescent="0.3">
      <c r="A112" s="131" t="s">
        <v>99</v>
      </c>
      <c r="B112" s="23">
        <f>B107</f>
        <v>0</v>
      </c>
      <c r="C112" s="23">
        <f>C107</f>
        <v>0</v>
      </c>
      <c r="D112" s="23">
        <f>D107</f>
        <v>0</v>
      </c>
      <c r="E112" s="23">
        <f>E107</f>
        <v>0</v>
      </c>
      <c r="F112" s="113"/>
      <c r="G112" s="37">
        <f>SUM(B112:E112)</f>
        <v>0</v>
      </c>
    </row>
    <row r="113" spans="1:15" x14ac:dyDescent="0.3">
      <c r="A113" s="132" t="s">
        <v>100</v>
      </c>
      <c r="B113" s="133"/>
      <c r="C113" s="133"/>
      <c r="D113" s="133"/>
      <c r="E113" s="133"/>
      <c r="F113" s="96"/>
      <c r="G113" s="131"/>
      <c r="H113" s="134" t="s">
        <v>198</v>
      </c>
    </row>
    <row r="114" spans="1:15" x14ac:dyDescent="0.3">
      <c r="A114" s="131" t="s">
        <v>101</v>
      </c>
      <c r="B114" s="37">
        <f>B112*B113</f>
        <v>0</v>
      </c>
      <c r="C114" s="37">
        <f>C112*C113</f>
        <v>0</v>
      </c>
      <c r="D114" s="37">
        <f>D112*D113</f>
        <v>0</v>
      </c>
      <c r="E114" s="37">
        <f>E112*E113</f>
        <v>0</v>
      </c>
      <c r="F114" s="96"/>
      <c r="G114" s="37">
        <f>SUM(B114:F114)</f>
        <v>0</v>
      </c>
    </row>
    <row r="115" spans="1:15" x14ac:dyDescent="0.3">
      <c r="A115" s="131" t="s">
        <v>85</v>
      </c>
      <c r="B115" s="135"/>
      <c r="C115" s="135"/>
      <c r="D115" s="135"/>
      <c r="E115" s="135"/>
      <c r="F115" s="206"/>
      <c r="G115" s="37">
        <f>SUM(B115:F115)</f>
        <v>0</v>
      </c>
    </row>
    <row r="116" spans="1:15" x14ac:dyDescent="0.3">
      <c r="A116" s="136" t="s">
        <v>4</v>
      </c>
      <c r="B116" s="37"/>
      <c r="C116" s="37"/>
      <c r="D116" s="37">
        <f>IF(D115=0,0,D115-D114)</f>
        <v>0</v>
      </c>
      <c r="E116" s="37">
        <f>IF(E115=0,0,E115-E114)</f>
        <v>0</v>
      </c>
      <c r="F116" s="96"/>
      <c r="G116" s="37">
        <f>SUM(B116:F116)</f>
        <v>0</v>
      </c>
    </row>
    <row r="117" spans="1:15" x14ac:dyDescent="0.3">
      <c r="A117" s="137" t="s">
        <v>102</v>
      </c>
      <c r="B117" s="135">
        <f>B114+B116</f>
        <v>0</v>
      </c>
      <c r="C117" s="135">
        <f>C114+C116</f>
        <v>0</v>
      </c>
      <c r="D117" s="135">
        <f>D114+D116</f>
        <v>0</v>
      </c>
      <c r="E117" s="135">
        <f>E114+E116</f>
        <v>0</v>
      </c>
      <c r="F117" s="206"/>
      <c r="G117" s="135">
        <f>G114+G116</f>
        <v>0</v>
      </c>
    </row>
    <row r="118" spans="1:15" x14ac:dyDescent="0.3">
      <c r="A118" s="138"/>
      <c r="B118" s="139"/>
      <c r="C118" s="139"/>
      <c r="D118" s="139"/>
      <c r="E118" s="139"/>
      <c r="F118" s="139"/>
    </row>
    <row r="119" spans="1:15" x14ac:dyDescent="0.3">
      <c r="A119" s="140"/>
      <c r="B119" s="141"/>
      <c r="C119" s="141"/>
      <c r="D119" s="141"/>
      <c r="E119" s="141"/>
      <c r="F119" s="141"/>
      <c r="G119" s="106"/>
      <c r="H119" s="142" t="s">
        <v>103</v>
      </c>
      <c r="I119" s="143"/>
      <c r="J119" s="144"/>
      <c r="K119" s="134" t="s">
        <v>104</v>
      </c>
      <c r="O119" s="134"/>
    </row>
    <row r="120" spans="1:15" x14ac:dyDescent="0.3">
      <c r="A120" s="140"/>
      <c r="B120" s="139"/>
      <c r="C120" s="139"/>
      <c r="D120" s="139"/>
      <c r="E120" s="139"/>
      <c r="F120" s="139"/>
    </row>
    <row r="121" spans="1:15" x14ac:dyDescent="0.3">
      <c r="A121" s="31"/>
      <c r="B121" s="139"/>
      <c r="C121" s="139"/>
      <c r="D121" s="145"/>
      <c r="E121" s="145"/>
      <c r="F121" s="145"/>
      <c r="G121" s="106">
        <f>G117</f>
        <v>0</v>
      </c>
      <c r="H121" s="142" t="s">
        <v>37</v>
      </c>
      <c r="I121" s="143"/>
      <c r="J121" s="144"/>
    </row>
    <row r="122" spans="1:15" x14ac:dyDescent="0.3">
      <c r="A122" s="139"/>
      <c r="B122" s="146"/>
      <c r="C122" s="147"/>
      <c r="D122" s="147"/>
      <c r="E122" s="147"/>
      <c r="F122" s="147"/>
    </row>
    <row r="123" spans="1:15" x14ac:dyDescent="0.3">
      <c r="A123" s="139"/>
      <c r="B123" s="146"/>
      <c r="C123" s="147"/>
      <c r="D123" s="147"/>
      <c r="E123" s="147"/>
      <c r="F123" s="147"/>
      <c r="G123" s="106">
        <f>G119+G121-G115</f>
        <v>0</v>
      </c>
      <c r="H123" s="142" t="s">
        <v>105</v>
      </c>
      <c r="I123" s="143"/>
      <c r="J123" s="144"/>
    </row>
    <row r="124" spans="1:15" x14ac:dyDescent="0.3">
      <c r="A124" s="139"/>
      <c r="B124" s="146"/>
      <c r="C124" s="147"/>
      <c r="D124" s="147"/>
      <c r="E124" s="147"/>
      <c r="F124" s="147"/>
      <c r="G124" s="153"/>
      <c r="H124" s="1"/>
      <c r="I124" s="153"/>
      <c r="J124" s="153"/>
    </row>
    <row r="125" spans="1:15" x14ac:dyDescent="0.3">
      <c r="A125" s="138" t="s">
        <v>130</v>
      </c>
      <c r="B125" s="146"/>
      <c r="C125" s="147"/>
      <c r="D125" s="147"/>
      <c r="E125" s="147"/>
      <c r="F125" s="147"/>
      <c r="G125" s="153"/>
      <c r="H125" s="1"/>
      <c r="I125" s="153"/>
      <c r="J125" s="153"/>
    </row>
    <row r="126" spans="1:15" x14ac:dyDescent="0.3">
      <c r="A126" s="224"/>
      <c r="B126" s="166"/>
      <c r="C126" s="166"/>
      <c r="D126" s="166"/>
      <c r="E126" s="166"/>
      <c r="F126" s="147"/>
      <c r="G126" s="153"/>
      <c r="H126" s="1"/>
      <c r="I126" s="153"/>
      <c r="J126" s="153"/>
    </row>
    <row r="127" spans="1:15" x14ac:dyDescent="0.3">
      <c r="A127" s="169"/>
      <c r="B127" s="166"/>
      <c r="C127" s="166"/>
      <c r="D127" s="166"/>
      <c r="E127" s="166"/>
      <c r="F127" s="147"/>
      <c r="G127" s="153"/>
      <c r="H127" s="1"/>
      <c r="I127" s="153"/>
      <c r="J127" s="153"/>
    </row>
    <row r="128" spans="1:15" x14ac:dyDescent="0.3">
      <c r="A128" s="169"/>
      <c r="B128" s="166"/>
      <c r="C128" s="166"/>
      <c r="D128" s="166"/>
      <c r="E128" s="166"/>
      <c r="F128" s="147"/>
      <c r="G128" s="153"/>
      <c r="H128" s="1"/>
      <c r="I128" s="153"/>
      <c r="J128" s="153"/>
    </row>
    <row r="129" spans="1:10" x14ac:dyDescent="0.3">
      <c r="A129" s="169"/>
      <c r="B129" s="166"/>
      <c r="C129" s="166"/>
      <c r="D129" s="166"/>
      <c r="E129" s="166"/>
      <c r="F129" s="147"/>
      <c r="G129" s="153"/>
      <c r="H129" s="1"/>
      <c r="I129" s="153"/>
      <c r="J129" s="153"/>
    </row>
    <row r="130" spans="1:10" ht="14.4" thickBot="1" x14ac:dyDescent="0.35">
      <c r="A130" s="139"/>
      <c r="B130" s="146"/>
      <c r="C130" s="147"/>
      <c r="D130" s="147"/>
      <c r="E130" s="147"/>
      <c r="F130" s="147"/>
      <c r="G130" s="153"/>
      <c r="H130" s="1"/>
      <c r="I130" s="153"/>
      <c r="J130" s="153"/>
    </row>
    <row r="131" spans="1:10" ht="14.4" thickBot="1" x14ac:dyDescent="0.35">
      <c r="A131" s="167"/>
      <c r="B131" s="168">
        <f>SUM(B126:B129)</f>
        <v>0</v>
      </c>
      <c r="C131" s="168">
        <f>SUM(C126:C129)</f>
        <v>0</v>
      </c>
      <c r="D131" s="168">
        <f>SUM(D126:D129)</f>
        <v>0</v>
      </c>
      <c r="E131" s="168">
        <f>SUM(E126:F129)</f>
        <v>0</v>
      </c>
      <c r="F131" s="170"/>
      <c r="G131" s="153"/>
      <c r="H131" s="1"/>
      <c r="I131" s="153"/>
      <c r="J131" s="153"/>
    </row>
    <row r="133" spans="1:10" x14ac:dyDescent="0.3">
      <c r="A133" s="120" t="s">
        <v>106</v>
      </c>
    </row>
    <row r="134" spans="1:10" x14ac:dyDescent="0.3">
      <c r="A134" s="121"/>
      <c r="B134" s="946">
        <f>B4</f>
        <v>0</v>
      </c>
      <c r="C134" s="122">
        <f>C4</f>
        <v>0</v>
      </c>
      <c r="D134" s="122">
        <f>D4</f>
        <v>0</v>
      </c>
      <c r="E134" s="122">
        <f>E4</f>
        <v>0</v>
      </c>
      <c r="F134" s="201"/>
      <c r="G134" s="122"/>
    </row>
    <row r="135" spans="1:10" ht="24.6" customHeight="1" x14ac:dyDescent="0.3">
      <c r="A135" s="128"/>
      <c r="B135" s="953"/>
      <c r="C135" s="129">
        <f>C5</f>
        <v>0</v>
      </c>
      <c r="D135" s="129">
        <f>D5</f>
        <v>0</v>
      </c>
      <c r="E135" s="129">
        <f>E5</f>
        <v>0</v>
      </c>
      <c r="F135" s="205"/>
      <c r="G135" s="130" t="s">
        <v>0</v>
      </c>
    </row>
    <row r="136" spans="1:10" x14ac:dyDescent="0.3">
      <c r="A136" s="137" t="s">
        <v>107</v>
      </c>
      <c r="B136" s="106">
        <f>B35</f>
        <v>0</v>
      </c>
      <c r="C136" s="106">
        <f>C35</f>
        <v>0</v>
      </c>
      <c r="D136" s="106">
        <f>D35</f>
        <v>0</v>
      </c>
      <c r="E136" s="106">
        <f>E35</f>
        <v>0</v>
      </c>
      <c r="F136" s="207"/>
      <c r="G136" s="135">
        <f>SUM(B136:F136)</f>
        <v>0</v>
      </c>
      <c r="H136" s="134" t="s">
        <v>108</v>
      </c>
    </row>
    <row r="137" spans="1:10" x14ac:dyDescent="0.3">
      <c r="A137" s="132" t="s">
        <v>100</v>
      </c>
      <c r="B137" s="133">
        <f>B113</f>
        <v>0</v>
      </c>
      <c r="C137" s="133">
        <f>C113</f>
        <v>0</v>
      </c>
      <c r="D137" s="133">
        <f>D113</f>
        <v>0</v>
      </c>
      <c r="E137" s="133">
        <f>E113</f>
        <v>0</v>
      </c>
      <c r="F137" s="96"/>
      <c r="G137" s="131"/>
    </row>
    <row r="138" spans="1:10" x14ac:dyDescent="0.3">
      <c r="A138" s="137" t="s">
        <v>109</v>
      </c>
      <c r="B138" s="135">
        <f>B136*B137</f>
        <v>0</v>
      </c>
      <c r="C138" s="135">
        <f>C136*C137</f>
        <v>0</v>
      </c>
      <c r="D138" s="135">
        <f>D136*D137</f>
        <v>0</v>
      </c>
      <c r="E138" s="135">
        <f>E136*E137</f>
        <v>0</v>
      </c>
      <c r="F138" s="206"/>
      <c r="G138" s="135">
        <f>SUM(B138:F138)</f>
        <v>0</v>
      </c>
    </row>
    <row r="139" spans="1:10" x14ac:dyDescent="0.3">
      <c r="A139" s="137" t="s">
        <v>110</v>
      </c>
      <c r="B139" s="135">
        <f>IF(B136=0,0,B70)</f>
        <v>0</v>
      </c>
      <c r="C139" s="135">
        <f>IF(C136=0,0,C70)</f>
        <v>0</v>
      </c>
      <c r="D139" s="135">
        <f>IF(D136=0,0,D70)</f>
        <v>0</v>
      </c>
      <c r="E139" s="135">
        <f>IF(E136=0,0,E70)</f>
        <v>0</v>
      </c>
      <c r="F139" s="206"/>
      <c r="G139" s="135">
        <f>SUM(B139:F139)</f>
        <v>0</v>
      </c>
      <c r="H139" s="134" t="s">
        <v>111</v>
      </c>
    </row>
    <row r="140" spans="1:10" x14ac:dyDescent="0.3">
      <c r="A140" s="137" t="s">
        <v>112</v>
      </c>
      <c r="B140" s="106">
        <f>B138-B139</f>
        <v>0</v>
      </c>
      <c r="C140" s="106">
        <f>C138-C139</f>
        <v>0</v>
      </c>
      <c r="D140" s="106">
        <f>D138-D139</f>
        <v>0</v>
      </c>
      <c r="E140" s="106">
        <f>E138-E139</f>
        <v>0</v>
      </c>
      <c r="F140" s="207"/>
      <c r="G140" s="106">
        <f>G138-G139</f>
        <v>0</v>
      </c>
    </row>
    <row r="141" spans="1:10" x14ac:dyDescent="0.3">
      <c r="A141" s="148" t="s">
        <v>107</v>
      </c>
      <c r="C141" s="149" t="s">
        <v>113</v>
      </c>
      <c r="D141" s="150"/>
      <c r="E141" s="150"/>
      <c r="F141" s="208"/>
      <c r="G141" s="151">
        <v>0</v>
      </c>
      <c r="H141" s="134" t="s">
        <v>104</v>
      </c>
      <c r="J141" s="34"/>
    </row>
    <row r="142" spans="1:10" x14ac:dyDescent="0.3">
      <c r="A142" s="148" t="s">
        <v>114</v>
      </c>
      <c r="C142" s="149" t="s">
        <v>115</v>
      </c>
      <c r="D142" s="150"/>
      <c r="E142" s="150"/>
      <c r="F142" s="208"/>
      <c r="G142" s="151">
        <v>0</v>
      </c>
      <c r="H142" s="134"/>
      <c r="J142" s="34"/>
    </row>
    <row r="143" spans="1:10" x14ac:dyDescent="0.3">
      <c r="A143" s="31"/>
      <c r="C143" s="149" t="s">
        <v>116</v>
      </c>
      <c r="D143" s="150"/>
      <c r="E143" s="150"/>
      <c r="F143" s="208"/>
      <c r="G143" s="151">
        <f>G141+G142</f>
        <v>0</v>
      </c>
      <c r="H143" s="134"/>
      <c r="J143" s="34"/>
    </row>
    <row r="144" spans="1:10" x14ac:dyDescent="0.3">
      <c r="A144" s="31"/>
      <c r="C144" s="30" t="s">
        <v>117</v>
      </c>
      <c r="D144" s="21"/>
      <c r="E144" s="21"/>
      <c r="F144" s="208"/>
      <c r="G144" s="23">
        <f>G140-G143</f>
        <v>0</v>
      </c>
      <c r="H144" s="134"/>
      <c r="J144" s="34"/>
    </row>
    <row r="145" spans="1:10" x14ac:dyDescent="0.3">
      <c r="C145" s="30" t="s">
        <v>118</v>
      </c>
      <c r="D145" s="21"/>
      <c r="E145" s="21"/>
      <c r="F145" s="208"/>
      <c r="G145" s="23"/>
      <c r="H145" s="134" t="s">
        <v>104</v>
      </c>
      <c r="J145" s="34"/>
    </row>
    <row r="146" spans="1:10" x14ac:dyDescent="0.3">
      <c r="A146" s="1"/>
      <c r="C146" s="142" t="s">
        <v>119</v>
      </c>
      <c r="D146" s="152"/>
      <c r="E146" s="152"/>
      <c r="F146" s="209"/>
      <c r="G146" s="106">
        <f>G144+G145</f>
        <v>0</v>
      </c>
      <c r="H146" s="34"/>
      <c r="J146" s="34"/>
    </row>
    <row r="147" spans="1:10" x14ac:dyDescent="0.3">
      <c r="F147" s="210"/>
      <c r="H147" s="34"/>
    </row>
    <row r="148" spans="1:10" x14ac:dyDescent="0.3">
      <c r="A148" s="131" t="s">
        <v>120</v>
      </c>
      <c r="B148" s="23">
        <v>0</v>
      </c>
      <c r="C148" s="23">
        <v>0</v>
      </c>
      <c r="D148" s="23">
        <f>+D136</f>
        <v>0</v>
      </c>
      <c r="E148" s="23">
        <f>+E136</f>
        <v>0</v>
      </c>
      <c r="F148" s="113"/>
      <c r="G148" s="37">
        <f>SUM(B148:F148)</f>
        <v>0</v>
      </c>
    </row>
    <row r="149" spans="1:10" x14ac:dyDescent="0.3">
      <c r="A149" s="131" t="s">
        <v>121</v>
      </c>
      <c r="B149" s="23"/>
      <c r="C149" s="23"/>
      <c r="D149" s="23"/>
      <c r="E149" s="23"/>
      <c r="F149" s="113"/>
      <c r="G149" s="37">
        <f>SUM(B149:F149)</f>
        <v>0</v>
      </c>
    </row>
    <row r="150" spans="1:10" x14ac:dyDescent="0.3">
      <c r="A150" s="131" t="s">
        <v>122</v>
      </c>
      <c r="B150" s="23">
        <f>B131</f>
        <v>0</v>
      </c>
      <c r="C150" s="23">
        <f>C131</f>
        <v>0</v>
      </c>
      <c r="D150" s="23">
        <f>D131</f>
        <v>0</v>
      </c>
      <c r="E150" s="23">
        <f>E131</f>
        <v>0</v>
      </c>
      <c r="F150" s="113"/>
      <c r="G150" s="37">
        <f>SUM(B150:F150)</f>
        <v>0</v>
      </c>
    </row>
    <row r="151" spans="1:10" x14ac:dyDescent="0.3">
      <c r="A151" s="137" t="s">
        <v>123</v>
      </c>
      <c r="B151" s="106">
        <f t="shared" ref="B151:E152" si="14">B149-B148</f>
        <v>0</v>
      </c>
      <c r="C151" s="106">
        <f t="shared" si="14"/>
        <v>0</v>
      </c>
      <c r="D151" s="106">
        <f t="shared" si="14"/>
        <v>0</v>
      </c>
      <c r="E151" s="106">
        <f t="shared" si="14"/>
        <v>0</v>
      </c>
      <c r="F151" s="207"/>
      <c r="G151" s="135">
        <f>SUM(B151:F151)</f>
        <v>0</v>
      </c>
    </row>
    <row r="152" spans="1:10" x14ac:dyDescent="0.3">
      <c r="A152" s="137" t="s">
        <v>124</v>
      </c>
      <c r="B152" s="106">
        <f t="shared" si="14"/>
        <v>0</v>
      </c>
      <c r="C152" s="106">
        <f t="shared" si="14"/>
        <v>0</v>
      </c>
      <c r="D152" s="106">
        <f t="shared" si="14"/>
        <v>0</v>
      </c>
      <c r="E152" s="106">
        <f t="shared" si="14"/>
        <v>0</v>
      </c>
      <c r="F152" s="207"/>
      <c r="G152" s="135">
        <f>SUM(B152:F152)</f>
        <v>0</v>
      </c>
    </row>
    <row r="153" spans="1:10" x14ac:dyDescent="0.3">
      <c r="A153" s="1"/>
      <c r="B153" s="153"/>
      <c r="C153" s="153"/>
      <c r="D153" s="153"/>
      <c r="E153" s="153"/>
      <c r="F153" s="145"/>
      <c r="G153" s="154"/>
    </row>
    <row r="154" spans="1:10" x14ac:dyDescent="0.3">
      <c r="A154" s="155" t="s">
        <v>125</v>
      </c>
      <c r="B154" s="156">
        <f>B150-B148</f>
        <v>0</v>
      </c>
      <c r="C154" s="156">
        <f>C150-C148</f>
        <v>0</v>
      </c>
      <c r="D154" s="156">
        <f>D150-D148</f>
        <v>0</v>
      </c>
      <c r="E154" s="156">
        <f>E150-E148</f>
        <v>0</v>
      </c>
      <c r="F154" s="207"/>
      <c r="G154" s="157">
        <f>G150-G148</f>
        <v>0</v>
      </c>
    </row>
    <row r="155" spans="1:10" x14ac:dyDescent="0.3">
      <c r="B155" s="34"/>
      <c r="C155" s="34"/>
      <c r="D155" s="34"/>
      <c r="E155" s="34"/>
      <c r="F155" s="114"/>
      <c r="G155" s="34"/>
    </row>
    <row r="156" spans="1:10" x14ac:dyDescent="0.3">
      <c r="B156" s="158"/>
      <c r="C156" s="159" t="s">
        <v>126</v>
      </c>
      <c r="D156" s="160"/>
      <c r="E156" s="161"/>
      <c r="F156" s="211"/>
      <c r="G156" s="38">
        <f>G141</f>
        <v>0</v>
      </c>
    </row>
    <row r="157" spans="1:10" x14ac:dyDescent="0.3">
      <c r="B157" s="158"/>
      <c r="C157" s="152" t="s">
        <v>127</v>
      </c>
      <c r="D157" s="162"/>
      <c r="E157" s="163"/>
      <c r="F157" s="211"/>
      <c r="G157" s="135">
        <f>G146</f>
        <v>0</v>
      </c>
    </row>
    <row r="158" spans="1:10" x14ac:dyDescent="0.3">
      <c r="B158" s="158"/>
      <c r="C158" s="137" t="s">
        <v>123</v>
      </c>
      <c r="D158" s="162"/>
      <c r="E158" s="163"/>
      <c r="F158" s="211"/>
      <c r="G158" s="135">
        <f>-G151</f>
        <v>0</v>
      </c>
    </row>
    <row r="159" spans="1:10" x14ac:dyDescent="0.3">
      <c r="B159" s="158"/>
      <c r="C159" s="137" t="s">
        <v>124</v>
      </c>
      <c r="D159" s="162"/>
      <c r="E159" s="163"/>
      <c r="F159" s="211"/>
      <c r="G159" s="135">
        <f>-G152</f>
        <v>0</v>
      </c>
    </row>
    <row r="160" spans="1:10" x14ac:dyDescent="0.3">
      <c r="B160" s="158"/>
      <c r="C160" s="152" t="s">
        <v>128</v>
      </c>
      <c r="D160" s="162"/>
      <c r="E160" s="163"/>
      <c r="F160" s="211"/>
      <c r="G160" s="135">
        <f>SUM(G156:G159)</f>
        <v>0</v>
      </c>
    </row>
  </sheetData>
  <mergeCells count="11">
    <mergeCell ref="B110:B111"/>
    <mergeCell ref="B134:B135"/>
    <mergeCell ref="A4:A5"/>
    <mergeCell ref="G4:G5"/>
    <mergeCell ref="G38:G39"/>
    <mergeCell ref="A73:A74"/>
    <mergeCell ref="G73:G74"/>
    <mergeCell ref="B4:B5"/>
    <mergeCell ref="A38:A39"/>
    <mergeCell ref="B38:B39"/>
    <mergeCell ref="B73:B74"/>
  </mergeCells>
  <printOptions horizontalCentered="1" verticalCentered="1"/>
  <pageMargins left="0.5" right="0.5" top="0.5" bottom="0.5" header="0.5" footer="0.5"/>
  <pageSetup scale="24" orientation="landscape" r:id="rId1"/>
  <headerFooter alignWithMargins="0"/>
  <ignoredErrors>
    <ignoredError sqref="G6 G35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27</vt:i4>
      </vt:variant>
    </vt:vector>
  </HeadingPairs>
  <TitlesOfParts>
    <vt:vector size="64" baseType="lpstr">
      <vt:lpstr>MATURITY LIST</vt:lpstr>
      <vt:lpstr>FINANCIAL COST SUMMARY</vt:lpstr>
      <vt:lpstr>FINANCIAL SUMMARY</vt:lpstr>
      <vt:lpstr>USANCE LC SHEET </vt:lpstr>
      <vt:lpstr>INFLOW-OUTFLOW SUMMARY</vt:lpstr>
      <vt:lpstr>BORROWING SUMMARY</vt:lpstr>
      <vt:lpstr>AL-BARAKA-ISTISNA</vt:lpstr>
      <vt:lpstr>ASKARI - FATR</vt:lpstr>
      <vt:lpstr>ALFALAH-FE25</vt:lpstr>
      <vt:lpstr>ASKARI-FATR</vt:lpstr>
      <vt:lpstr>ALFALAH-FATR</vt:lpstr>
      <vt:lpstr>ALFALAH-RF </vt:lpstr>
      <vt:lpstr>ALLIED BANK - FATR</vt:lpstr>
      <vt:lpstr>BOP-RF</vt:lpstr>
      <vt:lpstr>BOP-FATR</vt:lpstr>
      <vt:lpstr>BANK ISLAMI</vt:lpstr>
      <vt:lpstr>BIPL - RF</vt:lpstr>
      <vt:lpstr>BOK RF</vt:lpstr>
      <vt:lpstr>BOK - FATR</vt:lpstr>
      <vt:lpstr>FBL-ISTISNA</vt:lpstr>
      <vt:lpstr>HBL-FATR </vt:lpstr>
      <vt:lpstr>HBL-RF</vt:lpstr>
      <vt:lpstr>HABIB METROPOLITAN-FATR</vt:lpstr>
      <vt:lpstr>HABIBMETROPOLITAN-RF</vt:lpstr>
      <vt:lpstr>JS-RF</vt:lpstr>
      <vt:lpstr>JS-FATR</vt:lpstr>
      <vt:lpstr>MCB-FATR</vt:lpstr>
      <vt:lpstr>MCB-RF</vt:lpstr>
      <vt:lpstr>MEEZAN-MUSAWAMAH</vt:lpstr>
      <vt:lpstr>NBP - FATR</vt:lpstr>
      <vt:lpstr>NBP - RF</vt:lpstr>
      <vt:lpstr>PBICL-RF -I (2)</vt:lpstr>
      <vt:lpstr>PBICL-RF -II (2)</vt:lpstr>
      <vt:lpstr>SONERI-FATR</vt:lpstr>
      <vt:lpstr>SONERI-RF </vt:lpstr>
      <vt:lpstr>SAMBA-RF</vt:lpstr>
      <vt:lpstr>SAMBA-FATR</vt:lpstr>
      <vt:lpstr>'AL-BARAKA-ISTISNA'!Print_Area</vt:lpstr>
      <vt:lpstr>'ALFALAH-RF '!Print_Area</vt:lpstr>
      <vt:lpstr>'ALLIED BANK - FATR'!Print_Area</vt:lpstr>
      <vt:lpstr>'ASKARI - FATR'!Print_Area</vt:lpstr>
      <vt:lpstr>'BANK ISLAMI'!Print_Area</vt:lpstr>
      <vt:lpstr>'BIPL - RF'!Print_Area</vt:lpstr>
      <vt:lpstr>'BOK - FATR'!Print_Area</vt:lpstr>
      <vt:lpstr>'BOP-FATR'!Print_Area</vt:lpstr>
      <vt:lpstr>'BOP-RF'!Print_Area</vt:lpstr>
      <vt:lpstr>'BORROWING SUMMARY'!Print_Area</vt:lpstr>
      <vt:lpstr>'FBL-ISTISNA'!Print_Area</vt:lpstr>
      <vt:lpstr>'FINANCIAL COST SUMMARY'!Print_Area</vt:lpstr>
      <vt:lpstr>'FINANCIAL SUMMARY'!Print_Area</vt:lpstr>
      <vt:lpstr>'HABIB METROPOLITAN-FATR'!Print_Area</vt:lpstr>
      <vt:lpstr>'HABIBMETROPOLITAN-RF'!Print_Area</vt:lpstr>
      <vt:lpstr>'HBL-FATR '!Print_Area</vt:lpstr>
      <vt:lpstr>'INFLOW-OUTFLOW SUMMARY'!Print_Area</vt:lpstr>
      <vt:lpstr>'JS-FATR'!Print_Area</vt:lpstr>
      <vt:lpstr>'MCB-FATR'!Print_Area</vt:lpstr>
      <vt:lpstr>'MEEZAN-MUSAWAMAH'!Print_Area</vt:lpstr>
      <vt:lpstr>'NBP - FATR'!Print_Area</vt:lpstr>
      <vt:lpstr>'NBP - RF'!Print_Area</vt:lpstr>
      <vt:lpstr>'SAMBA-FATR'!Print_Area</vt:lpstr>
      <vt:lpstr>'SAMBA-RF'!Print_Area</vt:lpstr>
      <vt:lpstr>'SONERI-FATR'!Print_Area</vt:lpstr>
      <vt:lpstr>'SONERI-RF '!Print_Area</vt:lpstr>
      <vt:lpstr>'USANCE LC SHEET '!Print_Area</vt:lpstr>
    </vt:vector>
  </TitlesOfParts>
  <Company>Nimir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</dc:creator>
  <cp:lastModifiedBy>Asma Maqsood</cp:lastModifiedBy>
  <cp:lastPrinted>2026-06-30T04:36:43Z</cp:lastPrinted>
  <dcterms:created xsi:type="dcterms:W3CDTF">2001-02-07T13:37:55Z</dcterms:created>
  <dcterms:modified xsi:type="dcterms:W3CDTF">2026-07-06T04:57:41Z</dcterms:modified>
</cp:coreProperties>
</file>