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2025-2026\Nimir Energy Limited\Financial Cost\"/>
    </mc:Choice>
  </mc:AlternateContent>
  <xr:revisionPtr revIDLastSave="0" documentId="8_{C29F32F4-906A-43B2-AC0F-F145D3C7BA50}" xr6:coauthVersionLast="47" xr6:coauthVersionMax="47" xr10:uidLastSave="{00000000-0000-0000-0000-000000000000}"/>
  <bookViews>
    <workbookView xWindow="-108" yWindow="-108" windowWidth="23256" windowHeight="12456" tabRatio="921" firstSheet="4" activeTab="4" xr2:uid="{B3C5D235-F05B-4225-AA10-D00FA1A8809F}"/>
  </bookViews>
  <sheets>
    <sheet name="VOUCHER " sheetId="74" r:id="rId1"/>
    <sheet name="FINANCIAL COST SUMMARY " sheetId="73" r:id="rId2"/>
    <sheet name="USANCE LC SHEET (2025)" sheetId="82" state="hidden" r:id="rId3"/>
    <sheet name="FINANCIAL SUMMARY" sheetId="69" r:id="rId4"/>
    <sheet name="INFLOW-OUTFLOW SUMMARY" sheetId="68" r:id="rId5"/>
    <sheet name="BORROWING SUMMARY " sheetId="70" r:id="rId6"/>
    <sheet name="MCB-FATR " sheetId="76" r:id="rId7"/>
    <sheet name="MCB-RF " sheetId="75" r:id="rId8"/>
    <sheet name="SONERI-FATR" sheetId="80" r:id="rId9"/>
    <sheet name="SONERI-RF" sheetId="78" r:id="rId10"/>
    <sheet name="BOP-RF" sheetId="18" r:id="rId11"/>
    <sheet name="BOP-FATR" sheetId="31" r:id="rId12"/>
    <sheet name="ASKARI-FATR" sheetId="84" r:id="rId13"/>
    <sheet name="NBP-Musawammah" sheetId="85" r:id="rId14"/>
    <sheet name="HBL-FATR" sheetId="81" r:id="rId15"/>
    <sheet name="HBL-RF" sheetId="79" r:id="rId16"/>
    <sheet name="PICL-LT" sheetId="83" r:id="rId17"/>
    <sheet name="FINANCIAL COST SUMMARY" sheetId="57" state="hidden" r:id="rId18"/>
    <sheet name="VOUCHER" sheetId="49" state="hidden" r:id="rId19"/>
    <sheet name="ALFALAH-FE25" sheetId="66" state="hidden" r:id="rId20"/>
  </sheets>
  <externalReferences>
    <externalReference r:id="rId21"/>
    <externalReference r:id="rId22"/>
    <externalReference r:id="rId23"/>
  </externalReferences>
  <definedNames>
    <definedName name="_xlnm._FilterDatabase" localSheetId="2" hidden="1">'USANCE LC SHEET (2025)'!$A$7:$S$8</definedName>
    <definedName name="_xlnm.Print_Area" localSheetId="19">'ALFALAH-FE25'!#REF!</definedName>
    <definedName name="_xlnm.Print_Area" localSheetId="10">'BOP-RF'!#REF!</definedName>
    <definedName name="_xlnm.Print_Area" localSheetId="5">'BORROWING SUMMARY '!$A$1:$N$25</definedName>
    <definedName name="_xlnm.Print_Area" localSheetId="17">'FINANCIAL COST SUMMARY'!$A$1:$I$8</definedName>
    <definedName name="_xlnm.Print_Area" localSheetId="1">'FINANCIAL COST SUMMARY '!$A$1:$I$18</definedName>
    <definedName name="_xlnm.Print_Area" localSheetId="3">'FINANCIAL SUMMARY'!$A$1:$B$47</definedName>
    <definedName name="_xlnm.Print_Area" localSheetId="15">'HBL-RF'!#REF!</definedName>
    <definedName name="_xlnm.Print_Area" localSheetId="7">'MCB-RF '!#REF!</definedName>
    <definedName name="_xlnm.Print_Area" localSheetId="9">'SONERI-RF'!$A$1:$E$35</definedName>
    <definedName name="_xlnm.Print_Area" localSheetId="2">'USANCE LC SHEET (2025)'!$A$3:$Q$13</definedName>
    <definedName name="_xlnm.Print_Area" localSheetId="18">VOUCHER!$A$1:$H$13</definedName>
    <definedName name="_xlnm.Print_Area" localSheetId="0">'VOUCHER '!$A$1:$H$27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66" l="1"/>
  <c r="G6" i="66"/>
  <c r="K6" i="66"/>
  <c r="B7" i="66"/>
  <c r="C7" i="66"/>
  <c r="D7" i="66"/>
  <c r="E7" i="66"/>
  <c r="G7" i="66"/>
  <c r="B8" i="66"/>
  <c r="C8" i="66"/>
  <c r="D8" i="66"/>
  <c r="E8" i="66"/>
  <c r="G8" i="66"/>
  <c r="B9" i="66"/>
  <c r="C9" i="66"/>
  <c r="D9" i="66"/>
  <c r="E9" i="66"/>
  <c r="G9" i="66"/>
  <c r="B10" i="66"/>
  <c r="C10" i="66"/>
  <c r="D10" i="66"/>
  <c r="E10" i="66"/>
  <c r="G10" i="66"/>
  <c r="B11" i="66"/>
  <c r="C11" i="66"/>
  <c r="D11" i="66"/>
  <c r="E11" i="66"/>
  <c r="G11" i="66"/>
  <c r="B12" i="66"/>
  <c r="C12" i="66"/>
  <c r="D12" i="66"/>
  <c r="E12" i="66"/>
  <c r="G12" i="66"/>
  <c r="B13" i="66"/>
  <c r="C13" i="66"/>
  <c r="D13" i="66"/>
  <c r="E13" i="66"/>
  <c r="G13" i="66"/>
  <c r="B14" i="66"/>
  <c r="C14" i="66"/>
  <c r="D14" i="66"/>
  <c r="E14" i="66"/>
  <c r="G14" i="66"/>
  <c r="B15" i="66"/>
  <c r="C15" i="66"/>
  <c r="D15" i="66"/>
  <c r="E15" i="66"/>
  <c r="G15" i="66"/>
  <c r="B16" i="66"/>
  <c r="C16" i="66"/>
  <c r="D16" i="66"/>
  <c r="E16" i="66"/>
  <c r="G16" i="66"/>
  <c r="B17" i="66"/>
  <c r="C17" i="66"/>
  <c r="D17" i="66"/>
  <c r="E17" i="66"/>
  <c r="G17" i="66"/>
  <c r="B18" i="66"/>
  <c r="C18" i="66"/>
  <c r="D18" i="66"/>
  <c r="E18" i="66"/>
  <c r="G18" i="66"/>
  <c r="B19" i="66"/>
  <c r="C19" i="66"/>
  <c r="D19" i="66"/>
  <c r="E19" i="66"/>
  <c r="G19" i="66"/>
  <c r="B20" i="66"/>
  <c r="C20" i="66"/>
  <c r="D20" i="66"/>
  <c r="E20" i="66"/>
  <c r="G20" i="66"/>
  <c r="B21" i="66"/>
  <c r="C21" i="66"/>
  <c r="D21" i="66"/>
  <c r="E21" i="66"/>
  <c r="G21" i="66"/>
  <c r="B22" i="66"/>
  <c r="C22" i="66"/>
  <c r="D22" i="66"/>
  <c r="E22" i="66"/>
  <c r="G22" i="66"/>
  <c r="B23" i="66"/>
  <c r="C23" i="66"/>
  <c r="D23" i="66"/>
  <c r="E23" i="66"/>
  <c r="G23" i="66"/>
  <c r="B24" i="66"/>
  <c r="C24" i="66"/>
  <c r="D24" i="66"/>
  <c r="E24" i="66"/>
  <c r="G24" i="66"/>
  <c r="B25" i="66"/>
  <c r="C25" i="66"/>
  <c r="D25" i="66"/>
  <c r="E25" i="66"/>
  <c r="G25" i="66"/>
  <c r="B26" i="66"/>
  <c r="C26" i="66"/>
  <c r="D26" i="66"/>
  <c r="E26" i="66"/>
  <c r="G26" i="66"/>
  <c r="B27" i="66"/>
  <c r="C27" i="66"/>
  <c r="D27" i="66"/>
  <c r="E27" i="66"/>
  <c r="G27" i="66"/>
  <c r="B28" i="66"/>
  <c r="C28" i="66"/>
  <c r="D28" i="66"/>
  <c r="E28" i="66"/>
  <c r="G28" i="66"/>
  <c r="B29" i="66"/>
  <c r="C29" i="66"/>
  <c r="D29" i="66"/>
  <c r="E29" i="66"/>
  <c r="G29" i="66"/>
  <c r="B30" i="66"/>
  <c r="C30" i="66"/>
  <c r="D30" i="66"/>
  <c r="E30" i="66"/>
  <c r="G30" i="66"/>
  <c r="B31" i="66"/>
  <c r="C31" i="66"/>
  <c r="D31" i="66"/>
  <c r="E31" i="66"/>
  <c r="G31" i="66"/>
  <c r="B32" i="66"/>
  <c r="C32" i="66"/>
  <c r="D32" i="66"/>
  <c r="E32" i="66"/>
  <c r="G32" i="66"/>
  <c r="B33" i="66"/>
  <c r="C33" i="66"/>
  <c r="D33" i="66"/>
  <c r="E33" i="66"/>
  <c r="G33" i="66"/>
  <c r="B34" i="66"/>
  <c r="C34" i="66"/>
  <c r="D34" i="66"/>
  <c r="E34" i="66"/>
  <c r="G34" i="66"/>
  <c r="G35" i="66"/>
  <c r="B38" i="66"/>
  <c r="C38" i="66"/>
  <c r="D38" i="66"/>
  <c r="E38" i="66"/>
  <c r="C39" i="66"/>
  <c r="D39" i="66"/>
  <c r="E39" i="66"/>
  <c r="A41" i="66"/>
  <c r="B41" i="66"/>
  <c r="C41" i="66"/>
  <c r="D41" i="66"/>
  <c r="E41" i="66"/>
  <c r="G41" i="66"/>
  <c r="A42" i="66"/>
  <c r="B42" i="66"/>
  <c r="C42" i="66"/>
  <c r="D42" i="66"/>
  <c r="E42" i="66"/>
  <c r="G42" i="66"/>
  <c r="A43" i="66"/>
  <c r="B43" i="66"/>
  <c r="C43" i="66"/>
  <c r="D43" i="66"/>
  <c r="E43" i="66"/>
  <c r="G43" i="66"/>
  <c r="A44" i="66"/>
  <c r="B44" i="66"/>
  <c r="C44" i="66"/>
  <c r="D44" i="66"/>
  <c r="E44" i="66"/>
  <c r="G44" i="66"/>
  <c r="A45" i="66"/>
  <c r="B45" i="66"/>
  <c r="C45" i="66"/>
  <c r="D45" i="66"/>
  <c r="E45" i="66"/>
  <c r="G45" i="66"/>
  <c r="A46" i="66"/>
  <c r="B46" i="66"/>
  <c r="C46" i="66"/>
  <c r="D46" i="66"/>
  <c r="E46" i="66"/>
  <c r="G46" i="66"/>
  <c r="A47" i="66"/>
  <c r="B47" i="66"/>
  <c r="C47" i="66"/>
  <c r="D47" i="66"/>
  <c r="E47" i="66"/>
  <c r="G47" i="66"/>
  <c r="A48" i="66"/>
  <c r="B48" i="66"/>
  <c r="C48" i="66"/>
  <c r="D48" i="66"/>
  <c r="E48" i="66"/>
  <c r="G48" i="66"/>
  <c r="A49" i="66"/>
  <c r="B49" i="66"/>
  <c r="C49" i="66"/>
  <c r="D49" i="66"/>
  <c r="E49" i="66"/>
  <c r="G49" i="66"/>
  <c r="A50" i="66"/>
  <c r="B50" i="66"/>
  <c r="C50" i="66"/>
  <c r="D50" i="66"/>
  <c r="E50" i="66"/>
  <c r="G50" i="66"/>
  <c r="A51" i="66"/>
  <c r="B51" i="66"/>
  <c r="C51" i="66"/>
  <c r="D51" i="66"/>
  <c r="E51" i="66"/>
  <c r="G51" i="66"/>
  <c r="A52" i="66"/>
  <c r="B52" i="66"/>
  <c r="C52" i="66"/>
  <c r="D52" i="66"/>
  <c r="E52" i="66"/>
  <c r="G52" i="66"/>
  <c r="A53" i="66"/>
  <c r="B53" i="66"/>
  <c r="C53" i="66"/>
  <c r="D53" i="66"/>
  <c r="E53" i="66"/>
  <c r="G53" i="66"/>
  <c r="A54" i="66"/>
  <c r="B54" i="66"/>
  <c r="C54" i="66"/>
  <c r="D54" i="66"/>
  <c r="E54" i="66"/>
  <c r="G54" i="66"/>
  <c r="A55" i="66"/>
  <c r="B55" i="66"/>
  <c r="C55" i="66"/>
  <c r="D55" i="66"/>
  <c r="E55" i="66"/>
  <c r="G55" i="66"/>
  <c r="A56" i="66"/>
  <c r="B56" i="66"/>
  <c r="C56" i="66"/>
  <c r="D56" i="66"/>
  <c r="E56" i="66"/>
  <c r="G56" i="66"/>
  <c r="A57" i="66"/>
  <c r="B57" i="66"/>
  <c r="C57" i="66"/>
  <c r="D57" i="66"/>
  <c r="E57" i="66"/>
  <c r="G57" i="66"/>
  <c r="A58" i="66"/>
  <c r="B58" i="66"/>
  <c r="C58" i="66"/>
  <c r="D58" i="66"/>
  <c r="E58" i="66"/>
  <c r="G58" i="66"/>
  <c r="A59" i="66"/>
  <c r="B59" i="66"/>
  <c r="C59" i="66"/>
  <c r="D59" i="66"/>
  <c r="E59" i="66"/>
  <c r="G59" i="66"/>
  <c r="A60" i="66"/>
  <c r="B60" i="66"/>
  <c r="C60" i="66"/>
  <c r="D60" i="66"/>
  <c r="E60" i="66"/>
  <c r="G60" i="66"/>
  <c r="A61" i="66"/>
  <c r="B61" i="66"/>
  <c r="C61" i="66"/>
  <c r="D61" i="66"/>
  <c r="E61" i="66"/>
  <c r="G61" i="66"/>
  <c r="A62" i="66"/>
  <c r="B62" i="66"/>
  <c r="C62" i="66"/>
  <c r="D62" i="66"/>
  <c r="E62" i="66"/>
  <c r="G62" i="66"/>
  <c r="A63" i="66"/>
  <c r="B63" i="66"/>
  <c r="C63" i="66"/>
  <c r="D63" i="66"/>
  <c r="E63" i="66"/>
  <c r="G63" i="66"/>
  <c r="A64" i="66"/>
  <c r="B64" i="66"/>
  <c r="C64" i="66"/>
  <c r="D64" i="66"/>
  <c r="E64" i="66"/>
  <c r="G64" i="66"/>
  <c r="A65" i="66"/>
  <c r="B65" i="66"/>
  <c r="C65" i="66"/>
  <c r="D65" i="66"/>
  <c r="E65" i="66"/>
  <c r="G65" i="66"/>
  <c r="A66" i="66"/>
  <c r="B66" i="66"/>
  <c r="C66" i="66"/>
  <c r="D66" i="66"/>
  <c r="E66" i="66"/>
  <c r="G66" i="66"/>
  <c r="A67" i="66"/>
  <c r="B67" i="66"/>
  <c r="C67" i="66"/>
  <c r="D67" i="66"/>
  <c r="E67" i="66"/>
  <c r="G67" i="66"/>
  <c r="A68" i="66"/>
  <c r="B68" i="66"/>
  <c r="C68" i="66"/>
  <c r="D68" i="66"/>
  <c r="E68" i="66"/>
  <c r="G68" i="66"/>
  <c r="A69" i="66"/>
  <c r="B69" i="66"/>
  <c r="C69" i="66"/>
  <c r="D69" i="66"/>
  <c r="E69" i="66"/>
  <c r="G69" i="66"/>
  <c r="A70" i="66"/>
  <c r="B70" i="66"/>
  <c r="C70" i="66"/>
  <c r="D70" i="66"/>
  <c r="E70" i="66"/>
  <c r="G70" i="66"/>
  <c r="B73" i="66"/>
  <c r="C73" i="66"/>
  <c r="D73" i="66"/>
  <c r="E73" i="66"/>
  <c r="C74" i="66"/>
  <c r="D74" i="66"/>
  <c r="E74" i="66"/>
  <c r="A76" i="66"/>
  <c r="B76" i="66"/>
  <c r="C76" i="66"/>
  <c r="D76" i="66"/>
  <c r="E76" i="66"/>
  <c r="G76" i="66"/>
  <c r="A77" i="66"/>
  <c r="B77" i="66"/>
  <c r="C77" i="66"/>
  <c r="D77" i="66"/>
  <c r="E77" i="66"/>
  <c r="G77" i="66"/>
  <c r="A78" i="66"/>
  <c r="B78" i="66"/>
  <c r="C78" i="66"/>
  <c r="D78" i="66"/>
  <c r="E78" i="66"/>
  <c r="G78" i="66"/>
  <c r="A79" i="66"/>
  <c r="B79" i="66"/>
  <c r="C79" i="66"/>
  <c r="D79" i="66"/>
  <c r="E79" i="66"/>
  <c r="G79" i="66"/>
  <c r="A80" i="66"/>
  <c r="B80" i="66"/>
  <c r="C80" i="66"/>
  <c r="D80" i="66"/>
  <c r="E80" i="66"/>
  <c r="G80" i="66"/>
  <c r="A81" i="66"/>
  <c r="B81" i="66"/>
  <c r="C81" i="66"/>
  <c r="D81" i="66"/>
  <c r="E81" i="66"/>
  <c r="G81" i="66"/>
  <c r="A82" i="66"/>
  <c r="B82" i="66"/>
  <c r="C82" i="66"/>
  <c r="D82" i="66"/>
  <c r="E82" i="66"/>
  <c r="G82" i="66"/>
  <c r="A83" i="66"/>
  <c r="B83" i="66"/>
  <c r="C83" i="66"/>
  <c r="D83" i="66"/>
  <c r="E83" i="66"/>
  <c r="G83" i="66"/>
  <c r="A84" i="66"/>
  <c r="B84" i="66"/>
  <c r="C84" i="66"/>
  <c r="D84" i="66"/>
  <c r="E84" i="66"/>
  <c r="G84" i="66"/>
  <c r="A85" i="66"/>
  <c r="B85" i="66"/>
  <c r="C85" i="66"/>
  <c r="D85" i="66"/>
  <c r="E85" i="66"/>
  <c r="G85" i="66"/>
  <c r="A86" i="66"/>
  <c r="B86" i="66"/>
  <c r="C86" i="66"/>
  <c r="D86" i="66"/>
  <c r="E86" i="66"/>
  <c r="G86" i="66"/>
  <c r="A87" i="66"/>
  <c r="B87" i="66"/>
  <c r="C87" i="66"/>
  <c r="D87" i="66"/>
  <c r="E87" i="66"/>
  <c r="G87" i="66"/>
  <c r="A88" i="66"/>
  <c r="B88" i="66"/>
  <c r="C88" i="66"/>
  <c r="D88" i="66"/>
  <c r="E88" i="66"/>
  <c r="G88" i="66"/>
  <c r="A89" i="66"/>
  <c r="B89" i="66"/>
  <c r="C89" i="66"/>
  <c r="D89" i="66"/>
  <c r="E89" i="66"/>
  <c r="G89" i="66"/>
  <c r="A90" i="66"/>
  <c r="B90" i="66"/>
  <c r="C90" i="66"/>
  <c r="D90" i="66"/>
  <c r="E90" i="66"/>
  <c r="G90" i="66"/>
  <c r="A91" i="66"/>
  <c r="B91" i="66"/>
  <c r="C91" i="66"/>
  <c r="D91" i="66"/>
  <c r="E91" i="66"/>
  <c r="G91" i="66"/>
  <c r="A92" i="66"/>
  <c r="B92" i="66"/>
  <c r="C92" i="66"/>
  <c r="D92" i="66"/>
  <c r="E92" i="66"/>
  <c r="G92" i="66"/>
  <c r="A93" i="66"/>
  <c r="B93" i="66"/>
  <c r="C93" i="66"/>
  <c r="D93" i="66"/>
  <c r="E93" i="66"/>
  <c r="G93" i="66"/>
  <c r="A94" i="66"/>
  <c r="B94" i="66"/>
  <c r="C94" i="66"/>
  <c r="D94" i="66"/>
  <c r="E94" i="66"/>
  <c r="G94" i="66"/>
  <c r="A95" i="66"/>
  <c r="B95" i="66"/>
  <c r="C95" i="66"/>
  <c r="D95" i="66"/>
  <c r="E95" i="66"/>
  <c r="G95" i="66"/>
  <c r="A96" i="66"/>
  <c r="B96" i="66"/>
  <c r="C96" i="66"/>
  <c r="D96" i="66"/>
  <c r="E96" i="66"/>
  <c r="G96" i="66"/>
  <c r="A97" i="66"/>
  <c r="B97" i="66"/>
  <c r="C97" i="66"/>
  <c r="D97" i="66"/>
  <c r="E97" i="66"/>
  <c r="G97" i="66"/>
  <c r="A98" i="66"/>
  <c r="B98" i="66"/>
  <c r="C98" i="66"/>
  <c r="D98" i="66"/>
  <c r="E98" i="66"/>
  <c r="G98" i="66"/>
  <c r="A99" i="66"/>
  <c r="B99" i="66"/>
  <c r="C99" i="66"/>
  <c r="D99" i="66"/>
  <c r="E99" i="66"/>
  <c r="G99" i="66"/>
  <c r="A100" i="66"/>
  <c r="B100" i="66"/>
  <c r="C100" i="66"/>
  <c r="D100" i="66"/>
  <c r="E100" i="66"/>
  <c r="G100" i="66"/>
  <c r="A101" i="66"/>
  <c r="B101" i="66"/>
  <c r="C101" i="66"/>
  <c r="D101" i="66"/>
  <c r="E101" i="66"/>
  <c r="G101" i="66"/>
  <c r="A102" i="66"/>
  <c r="B102" i="66"/>
  <c r="C102" i="66"/>
  <c r="D102" i="66"/>
  <c r="E102" i="66"/>
  <c r="G102" i="66"/>
  <c r="A103" i="66"/>
  <c r="B103" i="66"/>
  <c r="C103" i="66"/>
  <c r="D103" i="66"/>
  <c r="E103" i="66"/>
  <c r="G103" i="66"/>
  <c r="A104" i="66"/>
  <c r="B104" i="66"/>
  <c r="C104" i="66"/>
  <c r="D104" i="66"/>
  <c r="E104" i="66"/>
  <c r="G104" i="66"/>
  <c r="A105" i="66"/>
  <c r="B105" i="66"/>
  <c r="C105" i="66"/>
  <c r="D105" i="66"/>
  <c r="E105" i="66"/>
  <c r="G105" i="66"/>
  <c r="B107" i="66"/>
  <c r="C107" i="66"/>
  <c r="D107" i="66"/>
  <c r="E107" i="66"/>
  <c r="G107" i="66"/>
  <c r="B110" i="66"/>
  <c r="C110" i="66"/>
  <c r="D110" i="66"/>
  <c r="E110" i="66"/>
  <c r="C111" i="66"/>
  <c r="D111" i="66"/>
  <c r="E111" i="66"/>
  <c r="B112" i="66"/>
  <c r="C112" i="66"/>
  <c r="D112" i="66"/>
  <c r="E112" i="66"/>
  <c r="G112" i="66"/>
  <c r="B114" i="66"/>
  <c r="C114" i="66"/>
  <c r="D114" i="66"/>
  <c r="E114" i="66"/>
  <c r="G114" i="66"/>
  <c r="G115" i="66"/>
  <c r="D116" i="66"/>
  <c r="E116" i="66"/>
  <c r="G116" i="66"/>
  <c r="B117" i="66"/>
  <c r="C117" i="66"/>
  <c r="D117" i="66"/>
  <c r="E117" i="66"/>
  <c r="G117" i="66"/>
  <c r="G121" i="66"/>
  <c r="G123" i="66"/>
  <c r="B131" i="66"/>
  <c r="C131" i="66"/>
  <c r="D131" i="66"/>
  <c r="E131" i="66"/>
  <c r="B134" i="66"/>
  <c r="C134" i="66"/>
  <c r="D134" i="66"/>
  <c r="E134" i="66"/>
  <c r="C135" i="66"/>
  <c r="D135" i="66"/>
  <c r="E135" i="66"/>
  <c r="B136" i="66"/>
  <c r="C136" i="66"/>
  <c r="D136" i="66"/>
  <c r="E136" i="66"/>
  <c r="G136" i="66"/>
  <c r="B137" i="66"/>
  <c r="C137" i="66"/>
  <c r="D137" i="66"/>
  <c r="E137" i="66"/>
  <c r="B138" i="66"/>
  <c r="C138" i="66"/>
  <c r="D138" i="66"/>
  <c r="E138" i="66"/>
  <c r="G138" i="66"/>
  <c r="B139" i="66"/>
  <c r="C139" i="66"/>
  <c r="D139" i="66"/>
  <c r="E139" i="66"/>
  <c r="G139" i="66"/>
  <c r="B140" i="66"/>
  <c r="C140" i="66"/>
  <c r="D140" i="66"/>
  <c r="E140" i="66"/>
  <c r="G140" i="66"/>
  <c r="G143" i="66"/>
  <c r="G144" i="66"/>
  <c r="G146" i="66"/>
  <c r="D148" i="66"/>
  <c r="E148" i="66"/>
  <c r="G148" i="66"/>
  <c r="G149" i="66"/>
  <c r="B150" i="66"/>
  <c r="C150" i="66"/>
  <c r="D150" i="66"/>
  <c r="E150" i="66"/>
  <c r="G150" i="66"/>
  <c r="B151" i="66"/>
  <c r="C151" i="66"/>
  <c r="D151" i="66"/>
  <c r="E151" i="66"/>
  <c r="G151" i="66"/>
  <c r="B152" i="66"/>
  <c r="C152" i="66"/>
  <c r="D152" i="66"/>
  <c r="E152" i="66"/>
  <c r="G152" i="66"/>
  <c r="B154" i="66"/>
  <c r="C154" i="66"/>
  <c r="D154" i="66"/>
  <c r="E154" i="66"/>
  <c r="G154" i="66"/>
  <c r="G156" i="66"/>
  <c r="G157" i="66"/>
  <c r="G158" i="66"/>
  <c r="G159" i="66"/>
  <c r="G160" i="66"/>
  <c r="E10" i="49"/>
  <c r="B11" i="49"/>
  <c r="F11" i="49"/>
  <c r="E13" i="49"/>
  <c r="F13" i="49"/>
  <c r="C6" i="57"/>
  <c r="D6" i="57"/>
  <c r="E6" i="57"/>
  <c r="F6" i="57"/>
  <c r="G6" i="57"/>
  <c r="H6" i="57"/>
  <c r="I6" i="57"/>
  <c r="B8" i="57"/>
  <c r="C8" i="57"/>
  <c r="D8" i="57"/>
  <c r="E8" i="57"/>
  <c r="F8" i="57"/>
  <c r="G8" i="57"/>
  <c r="H8" i="57"/>
  <c r="I8" i="57"/>
  <c r="D10" i="57"/>
  <c r="I10" i="57"/>
  <c r="B12" i="57"/>
  <c r="C12" i="57"/>
  <c r="D12" i="57"/>
  <c r="E12" i="57"/>
  <c r="F12" i="57"/>
  <c r="G12" i="57"/>
  <c r="H12" i="57"/>
  <c r="I12" i="57"/>
  <c r="J2" i="83"/>
  <c r="P5" i="83"/>
  <c r="B6" i="83"/>
  <c r="E6" i="83"/>
  <c r="I6" i="83"/>
  <c r="J6" i="83"/>
  <c r="K6" i="83"/>
  <c r="N6" i="83"/>
  <c r="P6" i="83"/>
  <c r="A7" i="83"/>
  <c r="B7" i="83"/>
  <c r="E7" i="83"/>
  <c r="G7" i="83"/>
  <c r="H7" i="83"/>
  <c r="I7" i="83"/>
  <c r="J7" i="83"/>
  <c r="K7" i="83"/>
  <c r="N7" i="83"/>
  <c r="P7" i="83"/>
  <c r="A8" i="83"/>
  <c r="B8" i="83"/>
  <c r="E8" i="83"/>
  <c r="G8" i="83"/>
  <c r="H8" i="83"/>
  <c r="I8" i="83"/>
  <c r="J8" i="83"/>
  <c r="K8" i="83"/>
  <c r="N8" i="83"/>
  <c r="P8" i="83"/>
  <c r="A9" i="83"/>
  <c r="B9" i="83"/>
  <c r="E9" i="83"/>
  <c r="G9" i="83"/>
  <c r="H9" i="83"/>
  <c r="I9" i="83"/>
  <c r="J9" i="83"/>
  <c r="K9" i="83"/>
  <c r="A10" i="83"/>
  <c r="B10" i="83"/>
  <c r="E10" i="83"/>
  <c r="G10" i="83"/>
  <c r="H10" i="83"/>
  <c r="I10" i="83"/>
  <c r="J10" i="83"/>
  <c r="K10" i="83"/>
  <c r="A11" i="83"/>
  <c r="B11" i="83"/>
  <c r="E11" i="83"/>
  <c r="G11" i="83"/>
  <c r="H11" i="83"/>
  <c r="I11" i="83"/>
  <c r="J11" i="83"/>
  <c r="K11" i="83"/>
  <c r="A12" i="83"/>
  <c r="B12" i="83"/>
  <c r="E12" i="83"/>
  <c r="G12" i="83"/>
  <c r="H12" i="83"/>
  <c r="I12" i="83"/>
  <c r="J12" i="83"/>
  <c r="K12" i="83"/>
  <c r="A13" i="83"/>
  <c r="B13" i="83"/>
  <c r="E13" i="83"/>
  <c r="G13" i="83"/>
  <c r="H13" i="83"/>
  <c r="I13" i="83"/>
  <c r="J13" i="83"/>
  <c r="K13" i="83"/>
  <c r="A14" i="83"/>
  <c r="B14" i="83"/>
  <c r="E14" i="83"/>
  <c r="G14" i="83"/>
  <c r="H14" i="83"/>
  <c r="I14" i="83"/>
  <c r="J14" i="83"/>
  <c r="K14" i="83"/>
  <c r="A15" i="83"/>
  <c r="B15" i="83"/>
  <c r="E15" i="83"/>
  <c r="G15" i="83"/>
  <c r="H15" i="83"/>
  <c r="I15" i="83"/>
  <c r="J15" i="83"/>
  <c r="K15" i="83"/>
  <c r="A16" i="83"/>
  <c r="B16" i="83"/>
  <c r="E16" i="83"/>
  <c r="G16" i="83"/>
  <c r="H16" i="83"/>
  <c r="I16" i="83"/>
  <c r="J16" i="83"/>
  <c r="K16" i="83"/>
  <c r="A17" i="83"/>
  <c r="B17" i="83"/>
  <c r="E17" i="83"/>
  <c r="G17" i="83"/>
  <c r="H17" i="83"/>
  <c r="I17" i="83"/>
  <c r="J17" i="83"/>
  <c r="K17" i="83"/>
  <c r="A18" i="83"/>
  <c r="B18" i="83"/>
  <c r="E18" i="83"/>
  <c r="G18" i="83"/>
  <c r="H18" i="83"/>
  <c r="I18" i="83"/>
  <c r="J18" i="83"/>
  <c r="A19" i="83"/>
  <c r="B19" i="83"/>
  <c r="E19" i="83"/>
  <c r="G19" i="83"/>
  <c r="H19" i="83"/>
  <c r="I19" i="83"/>
  <c r="J19" i="83"/>
  <c r="K19" i="83"/>
  <c r="A20" i="83"/>
  <c r="B20" i="83"/>
  <c r="E20" i="83"/>
  <c r="G20" i="83"/>
  <c r="H20" i="83"/>
  <c r="I20" i="83"/>
  <c r="J20" i="83"/>
  <c r="K20" i="83"/>
  <c r="A21" i="83"/>
  <c r="B21" i="83"/>
  <c r="E21" i="83"/>
  <c r="G21" i="83"/>
  <c r="H21" i="83"/>
  <c r="I21" i="83"/>
  <c r="J21" i="83"/>
  <c r="K21" i="83"/>
  <c r="A22" i="83"/>
  <c r="B22" i="83"/>
  <c r="E22" i="83"/>
  <c r="G22" i="83"/>
  <c r="H22" i="83"/>
  <c r="I22" i="83"/>
  <c r="J22" i="83"/>
  <c r="K22" i="83"/>
  <c r="A23" i="83"/>
  <c r="B23" i="83"/>
  <c r="E23" i="83"/>
  <c r="G23" i="83"/>
  <c r="H23" i="83"/>
  <c r="I23" i="83"/>
  <c r="J23" i="83"/>
  <c r="K23" i="83"/>
  <c r="A24" i="83"/>
  <c r="B24" i="83"/>
  <c r="E24" i="83"/>
  <c r="G24" i="83"/>
  <c r="H24" i="83"/>
  <c r="I24" i="83"/>
  <c r="J24" i="83"/>
  <c r="K24" i="83"/>
  <c r="A25" i="83"/>
  <c r="B25" i="83"/>
  <c r="E25" i="83"/>
  <c r="G25" i="83"/>
  <c r="H25" i="83"/>
  <c r="I25" i="83"/>
  <c r="J25" i="83"/>
  <c r="K25" i="83"/>
  <c r="A26" i="83"/>
  <c r="B26" i="83"/>
  <c r="E26" i="83"/>
  <c r="G26" i="83"/>
  <c r="H26" i="83"/>
  <c r="I26" i="83"/>
  <c r="J26" i="83"/>
  <c r="K26" i="83"/>
  <c r="A27" i="83"/>
  <c r="B27" i="83"/>
  <c r="E27" i="83"/>
  <c r="G27" i="83"/>
  <c r="H27" i="83"/>
  <c r="I27" i="83"/>
  <c r="J27" i="83"/>
  <c r="K27" i="83"/>
  <c r="A28" i="83"/>
  <c r="B28" i="83"/>
  <c r="E28" i="83"/>
  <c r="G28" i="83"/>
  <c r="H28" i="83"/>
  <c r="I28" i="83"/>
  <c r="J28" i="83"/>
  <c r="K28" i="83"/>
  <c r="A29" i="83"/>
  <c r="B29" i="83"/>
  <c r="E29" i="83"/>
  <c r="G29" i="83"/>
  <c r="H29" i="83"/>
  <c r="I29" i="83"/>
  <c r="J29" i="83"/>
  <c r="K29" i="83"/>
  <c r="A30" i="83"/>
  <c r="B30" i="83"/>
  <c r="E30" i="83"/>
  <c r="G30" i="83"/>
  <c r="H30" i="83"/>
  <c r="I30" i="83"/>
  <c r="J30" i="83"/>
  <c r="K30" i="83"/>
  <c r="A31" i="83"/>
  <c r="B31" i="83"/>
  <c r="E31" i="83"/>
  <c r="G31" i="83"/>
  <c r="H31" i="83"/>
  <c r="I31" i="83"/>
  <c r="J31" i="83"/>
  <c r="K31" i="83"/>
  <c r="A32" i="83"/>
  <c r="B32" i="83"/>
  <c r="E32" i="83"/>
  <c r="G32" i="83"/>
  <c r="H32" i="83"/>
  <c r="I32" i="83"/>
  <c r="J32" i="83"/>
  <c r="K32" i="83"/>
  <c r="A33" i="83"/>
  <c r="B33" i="83"/>
  <c r="E33" i="83"/>
  <c r="G33" i="83"/>
  <c r="H33" i="83"/>
  <c r="I33" i="83"/>
  <c r="J33" i="83"/>
  <c r="K33" i="83"/>
  <c r="A34" i="83"/>
  <c r="B34" i="83"/>
  <c r="E34" i="83"/>
  <c r="G34" i="83"/>
  <c r="H34" i="83"/>
  <c r="I34" i="83"/>
  <c r="J34" i="83"/>
  <c r="K34" i="83"/>
  <c r="A35" i="83"/>
  <c r="B35" i="83"/>
  <c r="E35" i="83"/>
  <c r="G35" i="83"/>
  <c r="H35" i="83"/>
  <c r="I35" i="83"/>
  <c r="J35" i="83"/>
  <c r="K35" i="83"/>
  <c r="J36" i="83"/>
  <c r="J40" i="83"/>
  <c r="M41" i="83"/>
  <c r="J42" i="83"/>
  <c r="J44" i="83"/>
  <c r="J46" i="83"/>
  <c r="J2" i="79"/>
  <c r="E6" i="79"/>
  <c r="I6" i="79"/>
  <c r="J6" i="79"/>
  <c r="K6" i="79"/>
  <c r="A7" i="79"/>
  <c r="B7" i="79"/>
  <c r="E7" i="79"/>
  <c r="G7" i="79"/>
  <c r="I7" i="79"/>
  <c r="A8" i="79"/>
  <c r="B8" i="79"/>
  <c r="E8" i="79"/>
  <c r="G8" i="79"/>
  <c r="I8" i="79"/>
  <c r="A9" i="79"/>
  <c r="B9" i="79"/>
  <c r="E9" i="79"/>
  <c r="G9" i="79"/>
  <c r="I9" i="79"/>
  <c r="J9" i="79"/>
  <c r="A10" i="79"/>
  <c r="B10" i="79"/>
  <c r="E10" i="79"/>
  <c r="G10" i="79"/>
  <c r="I10" i="79"/>
  <c r="J10" i="79"/>
  <c r="K10" i="79"/>
  <c r="A11" i="79"/>
  <c r="B11" i="79"/>
  <c r="E11" i="79"/>
  <c r="G11" i="79"/>
  <c r="I11" i="79"/>
  <c r="A12" i="79"/>
  <c r="B12" i="79"/>
  <c r="E12" i="79"/>
  <c r="G12" i="79"/>
  <c r="I12" i="79"/>
  <c r="A13" i="79"/>
  <c r="B13" i="79"/>
  <c r="E13" i="79"/>
  <c r="G13" i="79"/>
  <c r="I13" i="79"/>
  <c r="J13" i="79"/>
  <c r="A14" i="79"/>
  <c r="B14" i="79"/>
  <c r="E14" i="79"/>
  <c r="G14" i="79"/>
  <c r="I14" i="79"/>
  <c r="J14" i="79"/>
  <c r="K14" i="79"/>
  <c r="A15" i="79"/>
  <c r="B15" i="79"/>
  <c r="E15" i="79"/>
  <c r="G15" i="79"/>
  <c r="I15" i="79"/>
  <c r="J15" i="79"/>
  <c r="K15" i="79"/>
  <c r="A16" i="79"/>
  <c r="B16" i="79"/>
  <c r="E16" i="79"/>
  <c r="G16" i="79"/>
  <c r="I16" i="79"/>
  <c r="J16" i="79"/>
  <c r="K16" i="79"/>
  <c r="A17" i="79"/>
  <c r="B17" i="79"/>
  <c r="E17" i="79"/>
  <c r="G17" i="79"/>
  <c r="I17" i="79"/>
  <c r="J17" i="79"/>
  <c r="K17" i="79"/>
  <c r="A18" i="79"/>
  <c r="B18" i="79"/>
  <c r="E18" i="79"/>
  <c r="G18" i="79"/>
  <c r="I18" i="79"/>
  <c r="J18" i="79"/>
  <c r="K18" i="79"/>
  <c r="A19" i="79"/>
  <c r="B19" i="79"/>
  <c r="E19" i="79"/>
  <c r="G19" i="79"/>
  <c r="I19" i="79"/>
  <c r="J19" i="79"/>
  <c r="K19" i="79"/>
  <c r="A20" i="79"/>
  <c r="B20" i="79"/>
  <c r="E20" i="79"/>
  <c r="G20" i="79"/>
  <c r="I20" i="79"/>
  <c r="J20" i="79"/>
  <c r="K20" i="79"/>
  <c r="A21" i="79"/>
  <c r="B21" i="79"/>
  <c r="E21" i="79"/>
  <c r="G21" i="79"/>
  <c r="I21" i="79"/>
  <c r="J21" i="79"/>
  <c r="K21" i="79"/>
  <c r="A22" i="79"/>
  <c r="B22" i="79"/>
  <c r="E22" i="79"/>
  <c r="G22" i="79"/>
  <c r="I22" i="79"/>
  <c r="J22" i="79"/>
  <c r="K22" i="79"/>
  <c r="A23" i="79"/>
  <c r="B23" i="79"/>
  <c r="E23" i="79"/>
  <c r="G23" i="79"/>
  <c r="I23" i="79"/>
  <c r="J23" i="79"/>
  <c r="K23" i="79"/>
  <c r="A24" i="79"/>
  <c r="B24" i="79"/>
  <c r="E24" i="79"/>
  <c r="G24" i="79"/>
  <c r="I24" i="79"/>
  <c r="J24" i="79"/>
  <c r="K24" i="79"/>
  <c r="A25" i="79"/>
  <c r="B25" i="79"/>
  <c r="E25" i="79"/>
  <c r="G25" i="79"/>
  <c r="I25" i="79"/>
  <c r="J25" i="79"/>
  <c r="K25" i="79"/>
  <c r="A26" i="79"/>
  <c r="B26" i="79"/>
  <c r="E26" i="79"/>
  <c r="G26" i="79"/>
  <c r="I26" i="79"/>
  <c r="J26" i="79"/>
  <c r="K26" i="79"/>
  <c r="A27" i="79"/>
  <c r="B27" i="79"/>
  <c r="E27" i="79"/>
  <c r="G27" i="79"/>
  <c r="I27" i="79"/>
  <c r="J27" i="79"/>
  <c r="K27" i="79"/>
  <c r="A28" i="79"/>
  <c r="B28" i="79"/>
  <c r="E28" i="79"/>
  <c r="G28" i="79"/>
  <c r="I28" i="79"/>
  <c r="J28" i="79"/>
  <c r="K28" i="79"/>
  <c r="A29" i="79"/>
  <c r="B29" i="79"/>
  <c r="E29" i="79"/>
  <c r="G29" i="79"/>
  <c r="I29" i="79"/>
  <c r="J29" i="79"/>
  <c r="K29" i="79"/>
  <c r="A30" i="79"/>
  <c r="B30" i="79"/>
  <c r="E30" i="79"/>
  <c r="G30" i="79"/>
  <c r="I30" i="79"/>
  <c r="J30" i="79"/>
  <c r="K30" i="79"/>
  <c r="A31" i="79"/>
  <c r="B31" i="79"/>
  <c r="E31" i="79"/>
  <c r="G31" i="79"/>
  <c r="I31" i="79"/>
  <c r="J31" i="79"/>
  <c r="K31" i="79"/>
  <c r="A32" i="79"/>
  <c r="B32" i="79"/>
  <c r="E32" i="79"/>
  <c r="G32" i="79"/>
  <c r="I32" i="79"/>
  <c r="J32" i="79"/>
  <c r="K32" i="79"/>
  <c r="A33" i="79"/>
  <c r="B33" i="79"/>
  <c r="E33" i="79"/>
  <c r="G33" i="79"/>
  <c r="I33" i="79"/>
  <c r="J33" i="79"/>
  <c r="K33" i="79"/>
  <c r="A34" i="79"/>
  <c r="B34" i="79"/>
  <c r="E34" i="79"/>
  <c r="G34" i="79"/>
  <c r="I34" i="79"/>
  <c r="J34" i="79"/>
  <c r="K34" i="79"/>
  <c r="A35" i="79"/>
  <c r="B35" i="79"/>
  <c r="E35" i="79"/>
  <c r="G35" i="79"/>
  <c r="I35" i="79"/>
  <c r="J35" i="79"/>
  <c r="K35" i="79"/>
  <c r="J40" i="79"/>
  <c r="J42" i="79"/>
  <c r="C2" i="81"/>
  <c r="C6" i="81"/>
  <c r="G6" i="81"/>
  <c r="A7" i="81"/>
  <c r="C7" i="81"/>
  <c r="A8" i="81"/>
  <c r="C8" i="81"/>
  <c r="A9" i="81"/>
  <c r="C9" i="81"/>
  <c r="A10" i="81"/>
  <c r="C10" i="81"/>
  <c r="A11" i="81"/>
  <c r="C11" i="81"/>
  <c r="A12" i="81"/>
  <c r="C12" i="81"/>
  <c r="A13" i="81"/>
  <c r="C13" i="81"/>
  <c r="A14" i="81"/>
  <c r="C14" i="81"/>
  <c r="A15" i="81"/>
  <c r="C15" i="81"/>
  <c r="A16" i="81"/>
  <c r="C16" i="81"/>
  <c r="A17" i="81"/>
  <c r="C17" i="81"/>
  <c r="A18" i="81"/>
  <c r="C18" i="81"/>
  <c r="A19" i="81"/>
  <c r="C19" i="81"/>
  <c r="A20" i="81"/>
  <c r="C20" i="81"/>
  <c r="A21" i="81"/>
  <c r="C21" i="81"/>
  <c r="A22" i="81"/>
  <c r="C22" i="81"/>
  <c r="A23" i="81"/>
  <c r="C23" i="81"/>
  <c r="A24" i="81"/>
  <c r="C24" i="81"/>
  <c r="A25" i="81"/>
  <c r="C25" i="81"/>
  <c r="A26" i="81"/>
  <c r="C26" i="81"/>
  <c r="A27" i="81"/>
  <c r="C27" i="81"/>
  <c r="A28" i="81"/>
  <c r="C28" i="81"/>
  <c r="A29" i="81"/>
  <c r="C29" i="81"/>
  <c r="A30" i="81"/>
  <c r="C30" i="81"/>
  <c r="A31" i="81"/>
  <c r="C31" i="81"/>
  <c r="A32" i="81"/>
  <c r="C32" i="81"/>
  <c r="A33" i="81"/>
  <c r="C33" i="81"/>
  <c r="A34" i="81"/>
  <c r="C34" i="81"/>
  <c r="A35" i="81"/>
  <c r="C35" i="81"/>
  <c r="B38" i="81"/>
  <c r="B39" i="81"/>
  <c r="A40" i="81"/>
  <c r="B40" i="81"/>
  <c r="C40" i="81"/>
  <c r="A41" i="81"/>
  <c r="B41" i="81"/>
  <c r="C41" i="81"/>
  <c r="A42" i="81"/>
  <c r="B42" i="81"/>
  <c r="C42" i="81"/>
  <c r="A43" i="81"/>
  <c r="B43" i="81"/>
  <c r="C43" i="81"/>
  <c r="A44" i="81"/>
  <c r="B44" i="81"/>
  <c r="C44" i="81"/>
  <c r="A45" i="81"/>
  <c r="B45" i="81"/>
  <c r="C45" i="81"/>
  <c r="A46" i="81"/>
  <c r="B46" i="81"/>
  <c r="C46" i="81"/>
  <c r="A47" i="81"/>
  <c r="B47" i="81"/>
  <c r="C47" i="81"/>
  <c r="A48" i="81"/>
  <c r="B48" i="81"/>
  <c r="C48" i="81"/>
  <c r="A49" i="81"/>
  <c r="B49" i="81"/>
  <c r="C49" i="81"/>
  <c r="A50" i="81"/>
  <c r="B50" i="81"/>
  <c r="C50" i="81"/>
  <c r="A51" i="81"/>
  <c r="B51" i="81"/>
  <c r="C51" i="81"/>
  <c r="A52" i="81"/>
  <c r="B52" i="81"/>
  <c r="C52" i="81"/>
  <c r="A53" i="81"/>
  <c r="B53" i="81"/>
  <c r="C53" i="81"/>
  <c r="A54" i="81"/>
  <c r="B54" i="81"/>
  <c r="C54" i="81"/>
  <c r="A55" i="81"/>
  <c r="B55" i="81"/>
  <c r="C55" i="81"/>
  <c r="A56" i="81"/>
  <c r="B56" i="81"/>
  <c r="C56" i="81"/>
  <c r="A57" i="81"/>
  <c r="B57" i="81"/>
  <c r="C57" i="81"/>
  <c r="A58" i="81"/>
  <c r="B58" i="81"/>
  <c r="C58" i="81"/>
  <c r="A59" i="81"/>
  <c r="B59" i="81"/>
  <c r="C59" i="81"/>
  <c r="A60" i="81"/>
  <c r="B60" i="81"/>
  <c r="C60" i="81"/>
  <c r="A61" i="81"/>
  <c r="B61" i="81"/>
  <c r="C61" i="81"/>
  <c r="A62" i="81"/>
  <c r="B62" i="81"/>
  <c r="C62" i="81"/>
  <c r="A63" i="81"/>
  <c r="B63" i="81"/>
  <c r="C63" i="81"/>
  <c r="A64" i="81"/>
  <c r="B64" i="81"/>
  <c r="C64" i="81"/>
  <c r="A65" i="81"/>
  <c r="B65" i="81"/>
  <c r="C65" i="81"/>
  <c r="A66" i="81"/>
  <c r="B66" i="81"/>
  <c r="C66" i="81"/>
  <c r="A67" i="81"/>
  <c r="B67" i="81"/>
  <c r="C67" i="81"/>
  <c r="A68" i="81"/>
  <c r="B68" i="81"/>
  <c r="C68" i="81"/>
  <c r="A69" i="81"/>
  <c r="B69" i="81"/>
  <c r="C69" i="81"/>
  <c r="B70" i="81"/>
  <c r="C70" i="81"/>
  <c r="B73" i="81"/>
  <c r="C74" i="81"/>
  <c r="B75" i="81"/>
  <c r="C75" i="81"/>
  <c r="C76" i="81"/>
  <c r="B77" i="81"/>
  <c r="C77" i="81"/>
  <c r="C79" i="81"/>
  <c r="C81" i="81"/>
  <c r="B83" i="81"/>
  <c r="C83" i="81"/>
  <c r="B85" i="81"/>
  <c r="C85" i="81"/>
  <c r="C2" i="85"/>
  <c r="G5" i="85"/>
  <c r="B6" i="85"/>
  <c r="C6" i="85"/>
  <c r="A7" i="85"/>
  <c r="B7" i="85"/>
  <c r="C7" i="85"/>
  <c r="A8" i="85"/>
  <c r="B8" i="85"/>
  <c r="C8" i="85"/>
  <c r="A9" i="85"/>
  <c r="B9" i="85"/>
  <c r="C9" i="85"/>
  <c r="A10" i="85"/>
  <c r="B10" i="85"/>
  <c r="C10" i="85"/>
  <c r="A11" i="85"/>
  <c r="B11" i="85"/>
  <c r="C11" i="85"/>
  <c r="A12" i="85"/>
  <c r="B12" i="85"/>
  <c r="C12" i="85"/>
  <c r="A13" i="85"/>
  <c r="B13" i="85"/>
  <c r="C13" i="85"/>
  <c r="A14" i="85"/>
  <c r="B14" i="85"/>
  <c r="C14" i="85"/>
  <c r="A15" i="85"/>
  <c r="B15" i="85"/>
  <c r="C15" i="85"/>
  <c r="A16" i="85"/>
  <c r="B16" i="85"/>
  <c r="C16" i="85"/>
  <c r="A17" i="85"/>
  <c r="B17" i="85"/>
  <c r="C17" i="85"/>
  <c r="A18" i="85"/>
  <c r="B18" i="85"/>
  <c r="C18" i="85"/>
  <c r="A19" i="85"/>
  <c r="B19" i="85"/>
  <c r="C19" i="85"/>
  <c r="A20" i="85"/>
  <c r="B20" i="85"/>
  <c r="C20" i="85"/>
  <c r="A21" i="85"/>
  <c r="B21" i="85"/>
  <c r="C21" i="85"/>
  <c r="A22" i="85"/>
  <c r="B22" i="85"/>
  <c r="C22" i="85"/>
  <c r="A23" i="85"/>
  <c r="B23" i="85"/>
  <c r="C23" i="85"/>
  <c r="A24" i="85"/>
  <c r="B24" i="85"/>
  <c r="C24" i="85"/>
  <c r="A25" i="85"/>
  <c r="B25" i="85"/>
  <c r="C25" i="85"/>
  <c r="A26" i="85"/>
  <c r="B26" i="85"/>
  <c r="C26" i="85"/>
  <c r="A27" i="85"/>
  <c r="B27" i="85"/>
  <c r="C27" i="85"/>
  <c r="A28" i="85"/>
  <c r="B28" i="85"/>
  <c r="C28" i="85"/>
  <c r="A29" i="85"/>
  <c r="B29" i="85"/>
  <c r="C29" i="85"/>
  <c r="A30" i="85"/>
  <c r="B30" i="85"/>
  <c r="C30" i="85"/>
  <c r="A31" i="85"/>
  <c r="B31" i="85"/>
  <c r="C31" i="85"/>
  <c r="A32" i="85"/>
  <c r="B32" i="85"/>
  <c r="C32" i="85"/>
  <c r="A33" i="85"/>
  <c r="B33" i="85"/>
  <c r="C33" i="85"/>
  <c r="A34" i="85"/>
  <c r="B34" i="85"/>
  <c r="C34" i="85"/>
  <c r="A35" i="85"/>
  <c r="B35" i="85"/>
  <c r="C35" i="85"/>
  <c r="B38" i="85"/>
  <c r="B39" i="85"/>
  <c r="A40" i="85"/>
  <c r="B40" i="85"/>
  <c r="C40" i="85"/>
  <c r="A41" i="85"/>
  <c r="B41" i="85"/>
  <c r="C41" i="85"/>
  <c r="A42" i="85"/>
  <c r="B42" i="85"/>
  <c r="C42" i="85"/>
  <c r="A43" i="85"/>
  <c r="B43" i="85"/>
  <c r="C43" i="85"/>
  <c r="A44" i="85"/>
  <c r="B44" i="85"/>
  <c r="C44" i="85"/>
  <c r="A45" i="85"/>
  <c r="B45" i="85"/>
  <c r="C45" i="85"/>
  <c r="A46" i="85"/>
  <c r="B46" i="85"/>
  <c r="C46" i="85"/>
  <c r="A47" i="85"/>
  <c r="B47" i="85"/>
  <c r="C47" i="85"/>
  <c r="A48" i="85"/>
  <c r="B48" i="85"/>
  <c r="C48" i="85"/>
  <c r="A49" i="85"/>
  <c r="B49" i="85"/>
  <c r="C49" i="85"/>
  <c r="A50" i="85"/>
  <c r="B50" i="85"/>
  <c r="C50" i="85"/>
  <c r="A51" i="85"/>
  <c r="B51" i="85"/>
  <c r="C51" i="85"/>
  <c r="A52" i="85"/>
  <c r="B52" i="85"/>
  <c r="C52" i="85"/>
  <c r="A53" i="85"/>
  <c r="B53" i="85"/>
  <c r="C53" i="85"/>
  <c r="A54" i="85"/>
  <c r="B54" i="85"/>
  <c r="C54" i="85"/>
  <c r="A55" i="85"/>
  <c r="B55" i="85"/>
  <c r="C55" i="85"/>
  <c r="A56" i="85"/>
  <c r="B56" i="85"/>
  <c r="C56" i="85"/>
  <c r="A57" i="85"/>
  <c r="B57" i="85"/>
  <c r="C57" i="85"/>
  <c r="A58" i="85"/>
  <c r="B58" i="85"/>
  <c r="C58" i="85"/>
  <c r="A59" i="85"/>
  <c r="B59" i="85"/>
  <c r="C59" i="85"/>
  <c r="A60" i="85"/>
  <c r="B60" i="85"/>
  <c r="C60" i="85"/>
  <c r="A61" i="85"/>
  <c r="B61" i="85"/>
  <c r="C61" i="85"/>
  <c r="A62" i="85"/>
  <c r="B62" i="85"/>
  <c r="C62" i="85"/>
  <c r="A63" i="85"/>
  <c r="B63" i="85"/>
  <c r="C63" i="85"/>
  <c r="A64" i="85"/>
  <c r="B64" i="85"/>
  <c r="C64" i="85"/>
  <c r="A65" i="85"/>
  <c r="B65" i="85"/>
  <c r="C65" i="85"/>
  <c r="A66" i="85"/>
  <c r="B66" i="85"/>
  <c r="C66" i="85"/>
  <c r="A67" i="85"/>
  <c r="B67" i="85"/>
  <c r="C67" i="85"/>
  <c r="A68" i="85"/>
  <c r="B68" i="85"/>
  <c r="C68" i="85"/>
  <c r="A69" i="85"/>
  <c r="B69" i="85"/>
  <c r="C69" i="85"/>
  <c r="B70" i="85"/>
  <c r="C70" i="85"/>
  <c r="B73" i="85"/>
  <c r="B74" i="85"/>
  <c r="C74" i="85"/>
  <c r="B75" i="85"/>
  <c r="C75" i="85"/>
  <c r="C76" i="85"/>
  <c r="B77" i="85"/>
  <c r="C77" i="85"/>
  <c r="C79" i="85"/>
  <c r="C81" i="85"/>
  <c r="B83" i="85"/>
  <c r="C83" i="85"/>
  <c r="B85" i="85"/>
  <c r="C85" i="85"/>
  <c r="G2" i="84"/>
  <c r="B6" i="84"/>
  <c r="C6" i="84"/>
  <c r="D6" i="84"/>
  <c r="F6" i="84"/>
  <c r="G6" i="84"/>
  <c r="K6" i="84"/>
  <c r="A7" i="84"/>
  <c r="B7" i="84"/>
  <c r="C7" i="84"/>
  <c r="D7" i="84"/>
  <c r="F7" i="84"/>
  <c r="G7" i="84"/>
  <c r="A8" i="84"/>
  <c r="B8" i="84"/>
  <c r="C8" i="84"/>
  <c r="D8" i="84"/>
  <c r="F8" i="84"/>
  <c r="G8" i="84"/>
  <c r="A9" i="84"/>
  <c r="B9" i="84"/>
  <c r="C9" i="84"/>
  <c r="D9" i="84"/>
  <c r="F9" i="84"/>
  <c r="G9" i="84"/>
  <c r="A10" i="84"/>
  <c r="B10" i="84"/>
  <c r="C10" i="84"/>
  <c r="D10" i="84"/>
  <c r="F10" i="84"/>
  <c r="G10" i="84"/>
  <c r="A11" i="84"/>
  <c r="B11" i="84"/>
  <c r="C11" i="84"/>
  <c r="D11" i="84"/>
  <c r="F11" i="84"/>
  <c r="G11" i="84"/>
  <c r="A12" i="84"/>
  <c r="B12" i="84"/>
  <c r="C12" i="84"/>
  <c r="D12" i="84"/>
  <c r="F12" i="84"/>
  <c r="G12" i="84"/>
  <c r="A13" i="84"/>
  <c r="B13" i="84"/>
  <c r="C13" i="84"/>
  <c r="D13" i="84"/>
  <c r="F13" i="84"/>
  <c r="G13" i="84"/>
  <c r="A14" i="84"/>
  <c r="B14" i="84"/>
  <c r="C14" i="84"/>
  <c r="D14" i="84"/>
  <c r="F14" i="84"/>
  <c r="G14" i="84"/>
  <c r="A15" i="84"/>
  <c r="B15" i="84"/>
  <c r="C15" i="84"/>
  <c r="D15" i="84"/>
  <c r="F15" i="84"/>
  <c r="G15" i="84"/>
  <c r="A16" i="84"/>
  <c r="B16" i="84"/>
  <c r="C16" i="84"/>
  <c r="D16" i="84"/>
  <c r="F16" i="84"/>
  <c r="G16" i="84"/>
  <c r="A17" i="84"/>
  <c r="B17" i="84"/>
  <c r="C17" i="84"/>
  <c r="D17" i="84"/>
  <c r="F17" i="84"/>
  <c r="G17" i="84"/>
  <c r="A18" i="84"/>
  <c r="B18" i="84"/>
  <c r="C18" i="84"/>
  <c r="D18" i="84"/>
  <c r="F18" i="84"/>
  <c r="G18" i="84"/>
  <c r="A19" i="84"/>
  <c r="B19" i="84"/>
  <c r="C19" i="84"/>
  <c r="D19" i="84"/>
  <c r="F19" i="84"/>
  <c r="G19" i="84"/>
  <c r="A20" i="84"/>
  <c r="B20" i="84"/>
  <c r="C20" i="84"/>
  <c r="D20" i="84"/>
  <c r="F20" i="84"/>
  <c r="G20" i="84"/>
  <c r="A21" i="84"/>
  <c r="B21" i="84"/>
  <c r="C21" i="84"/>
  <c r="D21" i="84"/>
  <c r="F21" i="84"/>
  <c r="G21" i="84"/>
  <c r="A22" i="84"/>
  <c r="B22" i="84"/>
  <c r="C22" i="84"/>
  <c r="D22" i="84"/>
  <c r="E22" i="84"/>
  <c r="F22" i="84"/>
  <c r="G22" i="84"/>
  <c r="A23" i="84"/>
  <c r="B23" i="84"/>
  <c r="C23" i="84"/>
  <c r="D23" i="84"/>
  <c r="E23" i="84"/>
  <c r="F23" i="84"/>
  <c r="G23" i="84"/>
  <c r="A24" i="84"/>
  <c r="B24" i="84"/>
  <c r="C24" i="84"/>
  <c r="D24" i="84"/>
  <c r="E24" i="84"/>
  <c r="F24" i="84"/>
  <c r="G24" i="84"/>
  <c r="A25" i="84"/>
  <c r="B25" i="84"/>
  <c r="C25" i="84"/>
  <c r="D25" i="84"/>
  <c r="E25" i="84"/>
  <c r="F25" i="84"/>
  <c r="G25" i="84"/>
  <c r="A26" i="84"/>
  <c r="B26" i="84"/>
  <c r="C26" i="84"/>
  <c r="D26" i="84"/>
  <c r="E26" i="84"/>
  <c r="F26" i="84"/>
  <c r="G26" i="84"/>
  <c r="A27" i="84"/>
  <c r="B27" i="84"/>
  <c r="C27" i="84"/>
  <c r="D27" i="84"/>
  <c r="E27" i="84"/>
  <c r="F27" i="84"/>
  <c r="G27" i="84"/>
  <c r="A28" i="84"/>
  <c r="B28" i="84"/>
  <c r="C28" i="84"/>
  <c r="D28" i="84"/>
  <c r="E28" i="84"/>
  <c r="F28" i="84"/>
  <c r="G28" i="84"/>
  <c r="A29" i="84"/>
  <c r="B29" i="84"/>
  <c r="C29" i="84"/>
  <c r="D29" i="84"/>
  <c r="E29" i="84"/>
  <c r="F29" i="84"/>
  <c r="G29" i="84"/>
  <c r="A30" i="84"/>
  <c r="B30" i="84"/>
  <c r="C30" i="84"/>
  <c r="D30" i="84"/>
  <c r="E30" i="84"/>
  <c r="F30" i="84"/>
  <c r="G30" i="84"/>
  <c r="A31" i="84"/>
  <c r="B31" i="84"/>
  <c r="C31" i="84"/>
  <c r="D31" i="84"/>
  <c r="E31" i="84"/>
  <c r="F31" i="84"/>
  <c r="G31" i="84"/>
  <c r="A32" i="84"/>
  <c r="B32" i="84"/>
  <c r="C32" i="84"/>
  <c r="D32" i="84"/>
  <c r="E32" i="84"/>
  <c r="F32" i="84"/>
  <c r="G32" i="84"/>
  <c r="A33" i="84"/>
  <c r="B33" i="84"/>
  <c r="C33" i="84"/>
  <c r="D33" i="84"/>
  <c r="E33" i="84"/>
  <c r="F33" i="84"/>
  <c r="G33" i="84"/>
  <c r="A34" i="84"/>
  <c r="B34" i="84"/>
  <c r="C34" i="84"/>
  <c r="D34" i="84"/>
  <c r="E34" i="84"/>
  <c r="F34" i="84"/>
  <c r="G34" i="84"/>
  <c r="A35" i="84"/>
  <c r="B35" i="84"/>
  <c r="C35" i="84"/>
  <c r="D35" i="84"/>
  <c r="E35" i="84"/>
  <c r="F35" i="84"/>
  <c r="G35" i="84"/>
  <c r="B38" i="84"/>
  <c r="C38" i="84"/>
  <c r="E38" i="84"/>
  <c r="B39" i="84"/>
  <c r="C39" i="84"/>
  <c r="D39" i="84"/>
  <c r="E39" i="84"/>
  <c r="F39" i="84"/>
  <c r="A40" i="84"/>
  <c r="B40" i="84"/>
  <c r="C40" i="84"/>
  <c r="D40" i="84"/>
  <c r="E40" i="84"/>
  <c r="F40" i="84"/>
  <c r="G40" i="84"/>
  <c r="A41" i="84"/>
  <c r="B41" i="84"/>
  <c r="C41" i="84"/>
  <c r="D41" i="84"/>
  <c r="E41" i="84"/>
  <c r="F41" i="84"/>
  <c r="G41" i="84"/>
  <c r="A42" i="84"/>
  <c r="B42" i="84"/>
  <c r="C42" i="84"/>
  <c r="D42" i="84"/>
  <c r="E42" i="84"/>
  <c r="F42" i="84"/>
  <c r="G42" i="84"/>
  <c r="A43" i="84"/>
  <c r="B43" i="84"/>
  <c r="C43" i="84"/>
  <c r="D43" i="84"/>
  <c r="E43" i="84"/>
  <c r="F43" i="84"/>
  <c r="G43" i="84"/>
  <c r="A44" i="84"/>
  <c r="B44" i="84"/>
  <c r="C44" i="84"/>
  <c r="D44" i="84"/>
  <c r="E44" i="84"/>
  <c r="F44" i="84"/>
  <c r="G44" i="84"/>
  <c r="A45" i="84"/>
  <c r="B45" i="84"/>
  <c r="C45" i="84"/>
  <c r="D45" i="84"/>
  <c r="E45" i="84"/>
  <c r="F45" i="84"/>
  <c r="G45" i="84"/>
  <c r="A46" i="84"/>
  <c r="B46" i="84"/>
  <c r="C46" i="84"/>
  <c r="D46" i="84"/>
  <c r="E46" i="84"/>
  <c r="F46" i="84"/>
  <c r="G46" i="84"/>
  <c r="A47" i="84"/>
  <c r="B47" i="84"/>
  <c r="C47" i="84"/>
  <c r="D47" i="84"/>
  <c r="E47" i="84"/>
  <c r="F47" i="84"/>
  <c r="G47" i="84"/>
  <c r="A48" i="84"/>
  <c r="B48" i="84"/>
  <c r="C48" i="84"/>
  <c r="D48" i="84"/>
  <c r="E48" i="84"/>
  <c r="F48" i="84"/>
  <c r="G48" i="84"/>
  <c r="A49" i="84"/>
  <c r="B49" i="84"/>
  <c r="C49" i="84"/>
  <c r="D49" i="84"/>
  <c r="E49" i="84"/>
  <c r="F49" i="84"/>
  <c r="G49" i="84"/>
  <c r="A50" i="84"/>
  <c r="B50" i="84"/>
  <c r="C50" i="84"/>
  <c r="D50" i="84"/>
  <c r="E50" i="84"/>
  <c r="F50" i="84"/>
  <c r="G50" i="84"/>
  <c r="A51" i="84"/>
  <c r="B51" i="84"/>
  <c r="C51" i="84"/>
  <c r="D51" i="84"/>
  <c r="E51" i="84"/>
  <c r="F51" i="84"/>
  <c r="G51" i="84"/>
  <c r="A52" i="84"/>
  <c r="B52" i="84"/>
  <c r="C52" i="84"/>
  <c r="D52" i="84"/>
  <c r="E52" i="84"/>
  <c r="F52" i="84"/>
  <c r="G52" i="84"/>
  <c r="A53" i="84"/>
  <c r="B53" i="84"/>
  <c r="C53" i="84"/>
  <c r="D53" i="84"/>
  <c r="E53" i="84"/>
  <c r="F53" i="84"/>
  <c r="G53" i="84"/>
  <c r="A54" i="84"/>
  <c r="B54" i="84"/>
  <c r="C54" i="84"/>
  <c r="D54" i="84"/>
  <c r="E54" i="84"/>
  <c r="F54" i="84"/>
  <c r="G54" i="84"/>
  <c r="A55" i="84"/>
  <c r="B55" i="84"/>
  <c r="C55" i="84"/>
  <c r="D55" i="84"/>
  <c r="E55" i="84"/>
  <c r="F55" i="84"/>
  <c r="G55" i="84"/>
  <c r="A56" i="84"/>
  <c r="B56" i="84"/>
  <c r="C56" i="84"/>
  <c r="D56" i="84"/>
  <c r="E56" i="84"/>
  <c r="F56" i="84"/>
  <c r="G56" i="84"/>
  <c r="A57" i="84"/>
  <c r="B57" i="84"/>
  <c r="C57" i="84"/>
  <c r="D57" i="84"/>
  <c r="E57" i="84"/>
  <c r="F57" i="84"/>
  <c r="G57" i="84"/>
  <c r="A58" i="84"/>
  <c r="B58" i="84"/>
  <c r="C58" i="84"/>
  <c r="D58" i="84"/>
  <c r="E58" i="84"/>
  <c r="F58" i="84"/>
  <c r="G58" i="84"/>
  <c r="A59" i="84"/>
  <c r="B59" i="84"/>
  <c r="C59" i="84"/>
  <c r="D59" i="84"/>
  <c r="E59" i="84"/>
  <c r="F59" i="84"/>
  <c r="G59" i="84"/>
  <c r="A60" i="84"/>
  <c r="B60" i="84"/>
  <c r="C60" i="84"/>
  <c r="D60" i="84"/>
  <c r="E60" i="84"/>
  <c r="F60" i="84"/>
  <c r="G60" i="84"/>
  <c r="A61" i="84"/>
  <c r="B61" i="84"/>
  <c r="C61" i="84"/>
  <c r="D61" i="84"/>
  <c r="E61" i="84"/>
  <c r="F61" i="84"/>
  <c r="G61" i="84"/>
  <c r="A62" i="84"/>
  <c r="B62" i="84"/>
  <c r="C62" i="84"/>
  <c r="D62" i="84"/>
  <c r="E62" i="84"/>
  <c r="F62" i="84"/>
  <c r="G62" i="84"/>
  <c r="A63" i="84"/>
  <c r="B63" i="84"/>
  <c r="C63" i="84"/>
  <c r="D63" i="84"/>
  <c r="E63" i="84"/>
  <c r="F63" i="84"/>
  <c r="G63" i="84"/>
  <c r="A64" i="84"/>
  <c r="B64" i="84"/>
  <c r="C64" i="84"/>
  <c r="D64" i="84"/>
  <c r="E64" i="84"/>
  <c r="F64" i="84"/>
  <c r="G64" i="84"/>
  <c r="A65" i="84"/>
  <c r="B65" i="84"/>
  <c r="C65" i="84"/>
  <c r="D65" i="84"/>
  <c r="E65" i="84"/>
  <c r="F65" i="84"/>
  <c r="G65" i="84"/>
  <c r="A66" i="84"/>
  <c r="B66" i="84"/>
  <c r="C66" i="84"/>
  <c r="D66" i="84"/>
  <c r="E66" i="84"/>
  <c r="F66" i="84"/>
  <c r="G66" i="84"/>
  <c r="A67" i="84"/>
  <c r="B67" i="84"/>
  <c r="C67" i="84"/>
  <c r="D67" i="84"/>
  <c r="E67" i="84"/>
  <c r="F67" i="84"/>
  <c r="G67" i="84"/>
  <c r="A68" i="84"/>
  <c r="B68" i="84"/>
  <c r="C68" i="84"/>
  <c r="D68" i="84"/>
  <c r="E68" i="84"/>
  <c r="F68" i="84"/>
  <c r="G68" i="84"/>
  <c r="A69" i="84"/>
  <c r="B69" i="84"/>
  <c r="C69" i="84"/>
  <c r="D69" i="84"/>
  <c r="E69" i="84"/>
  <c r="F69" i="84"/>
  <c r="G69" i="84"/>
  <c r="B70" i="84"/>
  <c r="C70" i="84"/>
  <c r="D70" i="84"/>
  <c r="E70" i="84"/>
  <c r="F70" i="84"/>
  <c r="G70" i="84"/>
  <c r="B73" i="84"/>
  <c r="C73" i="84"/>
  <c r="E73" i="84"/>
  <c r="B74" i="84"/>
  <c r="C74" i="84"/>
  <c r="D74" i="84"/>
  <c r="F74" i="84"/>
  <c r="G74" i="84"/>
  <c r="B75" i="84"/>
  <c r="C75" i="84"/>
  <c r="D75" i="84"/>
  <c r="E75" i="84"/>
  <c r="F75" i="84"/>
  <c r="G75" i="84"/>
  <c r="G76" i="84"/>
  <c r="B77" i="84"/>
  <c r="C77" i="84"/>
  <c r="D77" i="84"/>
  <c r="E77" i="84"/>
  <c r="F77" i="84"/>
  <c r="G77" i="84"/>
  <c r="G79" i="84"/>
  <c r="G81" i="84"/>
  <c r="B83" i="84"/>
  <c r="C83" i="84"/>
  <c r="D83" i="84"/>
  <c r="E83" i="84"/>
  <c r="F83" i="84"/>
  <c r="G83" i="84"/>
  <c r="B85" i="84"/>
  <c r="C85" i="84"/>
  <c r="D85" i="84"/>
  <c r="E85" i="84"/>
  <c r="F85" i="84"/>
  <c r="G85" i="84"/>
  <c r="D2" i="31"/>
  <c r="H5" i="31"/>
  <c r="D6" i="31"/>
  <c r="A7" i="31"/>
  <c r="D7" i="31"/>
  <c r="A8" i="31"/>
  <c r="D8" i="31"/>
  <c r="A9" i="31"/>
  <c r="D9" i="31"/>
  <c r="A10" i="31"/>
  <c r="D10" i="31"/>
  <c r="A11" i="31"/>
  <c r="D11" i="31"/>
  <c r="A12" i="31"/>
  <c r="D12" i="31"/>
  <c r="A13" i="31"/>
  <c r="D13" i="31"/>
  <c r="A14" i="31"/>
  <c r="D14" i="31"/>
  <c r="A15" i="31"/>
  <c r="D15" i="31"/>
  <c r="A16" i="31"/>
  <c r="D16" i="31"/>
  <c r="A17" i="31"/>
  <c r="D17" i="31"/>
  <c r="A18" i="31"/>
  <c r="D18" i="31"/>
  <c r="A19" i="31"/>
  <c r="D19" i="31"/>
  <c r="A20" i="31"/>
  <c r="D20" i="31"/>
  <c r="A21" i="31"/>
  <c r="D21" i="31"/>
  <c r="A22" i="31"/>
  <c r="B22" i="31"/>
  <c r="C22" i="31"/>
  <c r="D22" i="31"/>
  <c r="A23" i="31"/>
  <c r="B23" i="31"/>
  <c r="C23" i="31"/>
  <c r="D23" i="31"/>
  <c r="A24" i="31"/>
  <c r="B24" i="31"/>
  <c r="C24" i="31"/>
  <c r="D24" i="31"/>
  <c r="A25" i="31"/>
  <c r="B25" i="31"/>
  <c r="C25" i="31"/>
  <c r="D25" i="31"/>
  <c r="A26" i="31"/>
  <c r="B26" i="31"/>
  <c r="C26" i="31"/>
  <c r="D26" i="31"/>
  <c r="A27" i="31"/>
  <c r="B27" i="31"/>
  <c r="C27" i="31"/>
  <c r="D27" i="31"/>
  <c r="A28" i="31"/>
  <c r="B28" i="31"/>
  <c r="C28" i="31"/>
  <c r="D28" i="31"/>
  <c r="A29" i="31"/>
  <c r="B29" i="31"/>
  <c r="C29" i="31"/>
  <c r="D29" i="31"/>
  <c r="A30" i="31"/>
  <c r="B30" i="31"/>
  <c r="C30" i="31"/>
  <c r="D30" i="31"/>
  <c r="A31" i="31"/>
  <c r="B31" i="31"/>
  <c r="C31" i="31"/>
  <c r="D31" i="31"/>
  <c r="A32" i="31"/>
  <c r="B32" i="31"/>
  <c r="C32" i="31"/>
  <c r="D32" i="31"/>
  <c r="A33" i="31"/>
  <c r="B33" i="31"/>
  <c r="C33" i="31"/>
  <c r="D33" i="31"/>
  <c r="A34" i="31"/>
  <c r="B34" i="31"/>
  <c r="C34" i="31"/>
  <c r="D34" i="31"/>
  <c r="A35" i="31"/>
  <c r="B35" i="31"/>
  <c r="C35" i="31"/>
  <c r="D35" i="31"/>
  <c r="B38" i="31"/>
  <c r="C38" i="31"/>
  <c r="B39" i="31"/>
  <c r="C39" i="31"/>
  <c r="A40" i="31"/>
  <c r="B40" i="31"/>
  <c r="C40" i="31"/>
  <c r="D40" i="31"/>
  <c r="A41" i="31"/>
  <c r="B41" i="31"/>
  <c r="C41" i="31"/>
  <c r="D41" i="31"/>
  <c r="A42" i="31"/>
  <c r="B42" i="31"/>
  <c r="C42" i="31"/>
  <c r="D42" i="31"/>
  <c r="A43" i="31"/>
  <c r="B43" i="31"/>
  <c r="C43" i="31"/>
  <c r="D43" i="31"/>
  <c r="A44" i="31"/>
  <c r="B44" i="31"/>
  <c r="C44" i="31"/>
  <c r="D44" i="31"/>
  <c r="A45" i="31"/>
  <c r="B45" i="31"/>
  <c r="C45" i="31"/>
  <c r="D45" i="31"/>
  <c r="A46" i="31"/>
  <c r="B46" i="31"/>
  <c r="C46" i="31"/>
  <c r="D46" i="31"/>
  <c r="A47" i="31"/>
  <c r="B47" i="31"/>
  <c r="C47" i="31"/>
  <c r="D47" i="31"/>
  <c r="A48" i="31"/>
  <c r="B48" i="31"/>
  <c r="C48" i="31"/>
  <c r="D48" i="31"/>
  <c r="A49" i="31"/>
  <c r="B49" i="31"/>
  <c r="C49" i="31"/>
  <c r="D49" i="31"/>
  <c r="A50" i="31"/>
  <c r="B50" i="31"/>
  <c r="C50" i="31"/>
  <c r="D50" i="31"/>
  <c r="A51" i="31"/>
  <c r="B51" i="31"/>
  <c r="C51" i="31"/>
  <c r="D51" i="31"/>
  <c r="A52" i="31"/>
  <c r="B52" i="31"/>
  <c r="C52" i="31"/>
  <c r="D52" i="31"/>
  <c r="A53" i="31"/>
  <c r="B53" i="31"/>
  <c r="C53" i="31"/>
  <c r="D53" i="31"/>
  <c r="A54" i="31"/>
  <c r="B54" i="31"/>
  <c r="C54" i="31"/>
  <c r="D54" i="31"/>
  <c r="A55" i="31"/>
  <c r="B55" i="31"/>
  <c r="C55" i="31"/>
  <c r="D55" i="31"/>
  <c r="A56" i="31"/>
  <c r="B56" i="31"/>
  <c r="C56" i="31"/>
  <c r="D56" i="31"/>
  <c r="A57" i="31"/>
  <c r="B57" i="31"/>
  <c r="C57" i="31"/>
  <c r="D57" i="31"/>
  <c r="A58" i="31"/>
  <c r="B58" i="31"/>
  <c r="C58" i="31"/>
  <c r="D58" i="31"/>
  <c r="A59" i="31"/>
  <c r="B59" i="31"/>
  <c r="C59" i="31"/>
  <c r="D59" i="31"/>
  <c r="A60" i="31"/>
  <c r="B60" i="31"/>
  <c r="C60" i="31"/>
  <c r="D60" i="31"/>
  <c r="A61" i="31"/>
  <c r="B61" i="31"/>
  <c r="C61" i="31"/>
  <c r="D61" i="31"/>
  <c r="A62" i="31"/>
  <c r="B62" i="31"/>
  <c r="C62" i="31"/>
  <c r="D62" i="31"/>
  <c r="A63" i="31"/>
  <c r="B63" i="31"/>
  <c r="C63" i="31"/>
  <c r="D63" i="31"/>
  <c r="A64" i="31"/>
  <c r="B64" i="31"/>
  <c r="C64" i="31"/>
  <c r="D64" i="31"/>
  <c r="A65" i="31"/>
  <c r="B65" i="31"/>
  <c r="C65" i="31"/>
  <c r="D65" i="31"/>
  <c r="A66" i="31"/>
  <c r="B66" i="31"/>
  <c r="C66" i="31"/>
  <c r="D66" i="31"/>
  <c r="A67" i="31"/>
  <c r="B67" i="31"/>
  <c r="C67" i="31"/>
  <c r="D67" i="31"/>
  <c r="A68" i="31"/>
  <c r="B68" i="31"/>
  <c r="C68" i="31"/>
  <c r="D68" i="31"/>
  <c r="A69" i="31"/>
  <c r="B69" i="31"/>
  <c r="C69" i="31"/>
  <c r="D69" i="31"/>
  <c r="B70" i="31"/>
  <c r="C70" i="31"/>
  <c r="D70" i="31"/>
  <c r="B73" i="31"/>
  <c r="C73" i="31"/>
  <c r="D74" i="31"/>
  <c r="B75" i="31"/>
  <c r="C75" i="31"/>
  <c r="D75" i="31"/>
  <c r="D76" i="31"/>
  <c r="B77" i="31"/>
  <c r="C77" i="31"/>
  <c r="D77" i="31"/>
  <c r="D79" i="31"/>
  <c r="D81" i="31"/>
  <c r="B83" i="31"/>
  <c r="C83" i="31"/>
  <c r="D83" i="31"/>
  <c r="B85" i="31"/>
  <c r="C85" i="31"/>
  <c r="D85" i="31"/>
  <c r="J2" i="18"/>
  <c r="E6" i="18"/>
  <c r="I6" i="18"/>
  <c r="J6" i="18"/>
  <c r="K6" i="18"/>
  <c r="A7" i="18"/>
  <c r="B7" i="18"/>
  <c r="E7" i="18"/>
  <c r="I7" i="18"/>
  <c r="J7" i="18"/>
  <c r="K7" i="18"/>
  <c r="A8" i="18"/>
  <c r="B8" i="18"/>
  <c r="E8" i="18"/>
  <c r="I8" i="18"/>
  <c r="J8" i="18"/>
  <c r="K8" i="18"/>
  <c r="A9" i="18"/>
  <c r="B9" i="18"/>
  <c r="E9" i="18"/>
  <c r="I9" i="18"/>
  <c r="J9" i="18"/>
  <c r="K9" i="18"/>
  <c r="A10" i="18"/>
  <c r="B10" i="18"/>
  <c r="E10" i="18"/>
  <c r="I10" i="18"/>
  <c r="J10" i="18"/>
  <c r="K10" i="18"/>
  <c r="A11" i="18"/>
  <c r="B11" i="18"/>
  <c r="E11" i="18"/>
  <c r="I11" i="18"/>
  <c r="J11" i="18"/>
  <c r="K11" i="18"/>
  <c r="A12" i="18"/>
  <c r="B12" i="18"/>
  <c r="E12" i="18"/>
  <c r="I12" i="18"/>
  <c r="J12" i="18"/>
  <c r="K12" i="18"/>
  <c r="A13" i="18"/>
  <c r="B13" i="18"/>
  <c r="E13" i="18"/>
  <c r="I13" i="18"/>
  <c r="J13" i="18"/>
  <c r="K13" i="18"/>
  <c r="A14" i="18"/>
  <c r="B14" i="18"/>
  <c r="E14" i="18"/>
  <c r="I14" i="18"/>
  <c r="J14" i="18"/>
  <c r="K14" i="18"/>
  <c r="A15" i="18"/>
  <c r="B15" i="18"/>
  <c r="E15" i="18"/>
  <c r="I15" i="18"/>
  <c r="J15" i="18"/>
  <c r="K15" i="18"/>
  <c r="A16" i="18"/>
  <c r="B16" i="18"/>
  <c r="E16" i="18"/>
  <c r="I16" i="18"/>
  <c r="J16" i="18"/>
  <c r="K16" i="18"/>
  <c r="A17" i="18"/>
  <c r="B17" i="18"/>
  <c r="E17" i="18"/>
  <c r="I17" i="18"/>
  <c r="J17" i="18"/>
  <c r="K17" i="18"/>
  <c r="A18" i="18"/>
  <c r="B18" i="18"/>
  <c r="E18" i="18"/>
  <c r="I18" i="18"/>
  <c r="J18" i="18"/>
  <c r="K18" i="18"/>
  <c r="A19" i="18"/>
  <c r="B19" i="18"/>
  <c r="E19" i="18"/>
  <c r="I19" i="18"/>
  <c r="J19" i="18"/>
  <c r="K19" i="18"/>
  <c r="A20" i="18"/>
  <c r="B20" i="18"/>
  <c r="E20" i="18"/>
  <c r="I20" i="18"/>
  <c r="J20" i="18"/>
  <c r="K20" i="18"/>
  <c r="A21" i="18"/>
  <c r="B21" i="18"/>
  <c r="E21" i="18"/>
  <c r="I21" i="18"/>
  <c r="J21" i="18"/>
  <c r="K21" i="18"/>
  <c r="A22" i="18"/>
  <c r="B22" i="18"/>
  <c r="E22" i="18"/>
  <c r="I22" i="18"/>
  <c r="J22" i="18"/>
  <c r="K22" i="18"/>
  <c r="A23" i="18"/>
  <c r="B23" i="18"/>
  <c r="E23" i="18"/>
  <c r="I23" i="18"/>
  <c r="J23" i="18"/>
  <c r="K23" i="18"/>
  <c r="A24" i="18"/>
  <c r="B24" i="18"/>
  <c r="E24" i="18"/>
  <c r="I24" i="18"/>
  <c r="J24" i="18"/>
  <c r="K24" i="18"/>
  <c r="A25" i="18"/>
  <c r="B25" i="18"/>
  <c r="E25" i="18"/>
  <c r="I25" i="18"/>
  <c r="J25" i="18"/>
  <c r="K25" i="18"/>
  <c r="A26" i="18"/>
  <c r="B26" i="18"/>
  <c r="I26" i="18"/>
  <c r="A27" i="18"/>
  <c r="B27" i="18"/>
  <c r="E27" i="18"/>
  <c r="I27" i="18"/>
  <c r="J27" i="18"/>
  <c r="A28" i="18"/>
  <c r="B28" i="18"/>
  <c r="I28" i="18"/>
  <c r="A29" i="18"/>
  <c r="B29" i="18"/>
  <c r="E29" i="18"/>
  <c r="I29" i="18"/>
  <c r="A30" i="18"/>
  <c r="B30" i="18"/>
  <c r="E30" i="18"/>
  <c r="I30" i="18"/>
  <c r="J30" i="18"/>
  <c r="K30" i="18"/>
  <c r="A31" i="18"/>
  <c r="B31" i="18"/>
  <c r="E31" i="18"/>
  <c r="I31" i="18"/>
  <c r="J31" i="18"/>
  <c r="K31" i="18"/>
  <c r="A32" i="18"/>
  <c r="B32" i="18"/>
  <c r="E32" i="18"/>
  <c r="I32" i="18"/>
  <c r="K32" i="18"/>
  <c r="A33" i="18"/>
  <c r="B33" i="18"/>
  <c r="I33" i="18"/>
  <c r="A34" i="18"/>
  <c r="B34" i="18"/>
  <c r="E34" i="18"/>
  <c r="I34" i="18"/>
  <c r="A35" i="18"/>
  <c r="B35" i="18"/>
  <c r="E35" i="18"/>
  <c r="I35" i="18"/>
  <c r="J35" i="18"/>
  <c r="J40" i="18"/>
  <c r="J42" i="18"/>
  <c r="J2" i="78"/>
  <c r="B6" i="78"/>
  <c r="E6" i="78"/>
  <c r="I6" i="78"/>
  <c r="K6" i="78"/>
  <c r="A7" i="78"/>
  <c r="B7" i="78"/>
  <c r="G7" i="78"/>
  <c r="I7" i="78"/>
  <c r="A8" i="78"/>
  <c r="B8" i="78"/>
  <c r="E8" i="78"/>
  <c r="G8" i="78"/>
  <c r="I8" i="78"/>
  <c r="A9" i="78"/>
  <c r="B9" i="78"/>
  <c r="E9" i="78"/>
  <c r="G9" i="78"/>
  <c r="I9" i="78"/>
  <c r="A10" i="78"/>
  <c r="B10" i="78"/>
  <c r="G10" i="78"/>
  <c r="I10" i="78"/>
  <c r="A11" i="78"/>
  <c r="B11" i="78"/>
  <c r="E11" i="78"/>
  <c r="G11" i="78"/>
  <c r="I11" i="78"/>
  <c r="A12" i="78"/>
  <c r="B12" i="78"/>
  <c r="G12" i="78"/>
  <c r="I12" i="78"/>
  <c r="A13" i="78"/>
  <c r="B13" i="78"/>
  <c r="G13" i="78"/>
  <c r="I13" i="78"/>
  <c r="A14" i="78"/>
  <c r="B14" i="78"/>
  <c r="G14" i="78"/>
  <c r="I14" i="78"/>
  <c r="A15" i="78"/>
  <c r="B15" i="78"/>
  <c r="G15" i="78"/>
  <c r="I15" i="78"/>
  <c r="A16" i="78"/>
  <c r="B16" i="78"/>
  <c r="E16" i="78"/>
  <c r="G16" i="78"/>
  <c r="I16" i="78"/>
  <c r="A17" i="78"/>
  <c r="E17" i="78"/>
  <c r="G17" i="78"/>
  <c r="I17" i="78"/>
  <c r="J17" i="78"/>
  <c r="A18" i="78"/>
  <c r="B18" i="78"/>
  <c r="E18" i="78"/>
  <c r="G18" i="78"/>
  <c r="I18" i="78"/>
  <c r="J18" i="78"/>
  <c r="K18" i="78"/>
  <c r="A19" i="78"/>
  <c r="B19" i="78"/>
  <c r="E19" i="78"/>
  <c r="G19" i="78"/>
  <c r="I19" i="78"/>
  <c r="J19" i="78"/>
  <c r="K19" i="78"/>
  <c r="A20" i="78"/>
  <c r="B20" i="78"/>
  <c r="E20" i="78"/>
  <c r="G20" i="78"/>
  <c r="I20" i="78"/>
  <c r="J20" i="78"/>
  <c r="K20" i="78"/>
  <c r="A21" i="78"/>
  <c r="B21" i="78"/>
  <c r="E21" i="78"/>
  <c r="G21" i="78"/>
  <c r="I21" i="78"/>
  <c r="J21" i="78"/>
  <c r="K21" i="78"/>
  <c r="A22" i="78"/>
  <c r="B22" i="78"/>
  <c r="E22" i="78"/>
  <c r="G22" i="78"/>
  <c r="I22" i="78"/>
  <c r="J22" i="78"/>
  <c r="K22" i="78"/>
  <c r="A23" i="78"/>
  <c r="B23" i="78"/>
  <c r="E23" i="78"/>
  <c r="G23" i="78"/>
  <c r="I23" i="78"/>
  <c r="J23" i="78"/>
  <c r="K23" i="78"/>
  <c r="A24" i="78"/>
  <c r="B24" i="78"/>
  <c r="E24" i="78"/>
  <c r="G24" i="78"/>
  <c r="I24" i="78"/>
  <c r="J24" i="78"/>
  <c r="K24" i="78"/>
  <c r="A25" i="78"/>
  <c r="B25" i="78"/>
  <c r="E25" i="78"/>
  <c r="G25" i="78"/>
  <c r="I25" i="78"/>
  <c r="A26" i="78"/>
  <c r="B26" i="78"/>
  <c r="G26" i="78"/>
  <c r="I26" i="78"/>
  <c r="A27" i="78"/>
  <c r="B27" i="78"/>
  <c r="E27" i="78"/>
  <c r="G27" i="78"/>
  <c r="I27" i="78"/>
  <c r="A28" i="78"/>
  <c r="B28" i="78"/>
  <c r="E28" i="78"/>
  <c r="G28" i="78"/>
  <c r="I28" i="78"/>
  <c r="K28" i="78"/>
  <c r="A29" i="78"/>
  <c r="B29" i="78"/>
  <c r="E29" i="78"/>
  <c r="G29" i="78"/>
  <c r="I29" i="78"/>
  <c r="J29" i="78"/>
  <c r="K29" i="78"/>
  <c r="A30" i="78"/>
  <c r="B30" i="78"/>
  <c r="E30" i="78"/>
  <c r="G30" i="78"/>
  <c r="I30" i="78"/>
  <c r="A31" i="78"/>
  <c r="B31" i="78"/>
  <c r="E31" i="78"/>
  <c r="G31" i="78"/>
  <c r="I31" i="78"/>
  <c r="A32" i="78"/>
  <c r="B32" i="78"/>
  <c r="E32" i="78"/>
  <c r="G32" i="78"/>
  <c r="I32" i="78"/>
  <c r="K32" i="78"/>
  <c r="A33" i="78"/>
  <c r="B33" i="78"/>
  <c r="E33" i="78"/>
  <c r="G33" i="78"/>
  <c r="I33" i="78"/>
  <c r="K33" i="78"/>
  <c r="A34" i="78"/>
  <c r="E34" i="78"/>
  <c r="G34" i="78"/>
  <c r="I34" i="78"/>
  <c r="J34" i="78"/>
  <c r="K34" i="78"/>
  <c r="A35" i="78"/>
  <c r="E35" i="78"/>
  <c r="G35" i="78"/>
  <c r="I35" i="78"/>
  <c r="J35" i="78"/>
  <c r="K35" i="78"/>
  <c r="J40" i="78"/>
  <c r="J42" i="78"/>
  <c r="C2" i="80"/>
  <c r="B6" i="80"/>
  <c r="C6" i="80"/>
  <c r="G6" i="80"/>
  <c r="A7" i="80"/>
  <c r="B7" i="80"/>
  <c r="C7" i="80"/>
  <c r="A8" i="80"/>
  <c r="B8" i="80"/>
  <c r="C8" i="80"/>
  <c r="A9" i="80"/>
  <c r="B9" i="80"/>
  <c r="C9" i="80"/>
  <c r="A10" i="80"/>
  <c r="B10" i="80"/>
  <c r="C10" i="80"/>
  <c r="A11" i="80"/>
  <c r="B11" i="80"/>
  <c r="C11" i="80"/>
  <c r="A12" i="80"/>
  <c r="B12" i="80"/>
  <c r="C12" i="80"/>
  <c r="A13" i="80"/>
  <c r="B13" i="80"/>
  <c r="C13" i="80"/>
  <c r="A14" i="80"/>
  <c r="B14" i="80"/>
  <c r="C14" i="80"/>
  <c r="A15" i="80"/>
  <c r="B15" i="80"/>
  <c r="C15" i="80"/>
  <c r="A16" i="80"/>
  <c r="B16" i="80"/>
  <c r="C16" i="80"/>
  <c r="A17" i="80"/>
  <c r="B17" i="80"/>
  <c r="C17" i="80"/>
  <c r="A18" i="80"/>
  <c r="B18" i="80"/>
  <c r="C18" i="80"/>
  <c r="A19" i="80"/>
  <c r="B19" i="80"/>
  <c r="C19" i="80"/>
  <c r="A20" i="80"/>
  <c r="B20" i="80"/>
  <c r="C20" i="80"/>
  <c r="A21" i="80"/>
  <c r="B21" i="80"/>
  <c r="C21" i="80"/>
  <c r="A22" i="80"/>
  <c r="B22" i="80"/>
  <c r="C22" i="80"/>
  <c r="A23" i="80"/>
  <c r="B23" i="80"/>
  <c r="C23" i="80"/>
  <c r="A24" i="80"/>
  <c r="B24" i="80"/>
  <c r="C24" i="80"/>
  <c r="A25" i="80"/>
  <c r="B25" i="80"/>
  <c r="C25" i="80"/>
  <c r="A26" i="80"/>
  <c r="B26" i="80"/>
  <c r="C26" i="80"/>
  <c r="A27" i="80"/>
  <c r="B27" i="80"/>
  <c r="C27" i="80"/>
  <c r="A28" i="80"/>
  <c r="B28" i="80"/>
  <c r="C28" i="80"/>
  <c r="A29" i="80"/>
  <c r="B29" i="80"/>
  <c r="C29" i="80"/>
  <c r="A30" i="80"/>
  <c r="B30" i="80"/>
  <c r="C30" i="80"/>
  <c r="A31" i="80"/>
  <c r="B31" i="80"/>
  <c r="C31" i="80"/>
  <c r="A32" i="80"/>
  <c r="B32" i="80"/>
  <c r="C32" i="80"/>
  <c r="A33" i="80"/>
  <c r="B33" i="80"/>
  <c r="C33" i="80"/>
  <c r="A34" i="80"/>
  <c r="B34" i="80"/>
  <c r="C34" i="80"/>
  <c r="A35" i="80"/>
  <c r="B35" i="80"/>
  <c r="C35" i="80"/>
  <c r="B39" i="80"/>
  <c r="A40" i="80"/>
  <c r="B40" i="80"/>
  <c r="C40" i="80"/>
  <c r="A41" i="80"/>
  <c r="B41" i="80"/>
  <c r="C41" i="80"/>
  <c r="A42" i="80"/>
  <c r="B42" i="80"/>
  <c r="C42" i="80"/>
  <c r="A43" i="80"/>
  <c r="B43" i="80"/>
  <c r="C43" i="80"/>
  <c r="A44" i="80"/>
  <c r="B44" i="80"/>
  <c r="C44" i="80"/>
  <c r="A45" i="80"/>
  <c r="B45" i="80"/>
  <c r="C45" i="80"/>
  <c r="A46" i="80"/>
  <c r="B46" i="80"/>
  <c r="C46" i="80"/>
  <c r="A47" i="80"/>
  <c r="B47" i="80"/>
  <c r="C47" i="80"/>
  <c r="A48" i="80"/>
  <c r="B48" i="80"/>
  <c r="C48" i="80"/>
  <c r="A49" i="80"/>
  <c r="B49" i="80"/>
  <c r="C49" i="80"/>
  <c r="A50" i="80"/>
  <c r="B50" i="80"/>
  <c r="C50" i="80"/>
  <c r="A51" i="80"/>
  <c r="B51" i="80"/>
  <c r="C51" i="80"/>
  <c r="A52" i="80"/>
  <c r="B52" i="80"/>
  <c r="C52" i="80"/>
  <c r="A53" i="80"/>
  <c r="B53" i="80"/>
  <c r="C53" i="80"/>
  <c r="A54" i="80"/>
  <c r="B54" i="80"/>
  <c r="C54" i="80"/>
  <c r="A55" i="80"/>
  <c r="B55" i="80"/>
  <c r="C55" i="80"/>
  <c r="A56" i="80"/>
  <c r="B56" i="80"/>
  <c r="C56" i="80"/>
  <c r="A57" i="80"/>
  <c r="B57" i="80"/>
  <c r="C57" i="80"/>
  <c r="A58" i="80"/>
  <c r="B58" i="80"/>
  <c r="C58" i="80"/>
  <c r="A59" i="80"/>
  <c r="B59" i="80"/>
  <c r="C59" i="80"/>
  <c r="A60" i="80"/>
  <c r="B60" i="80"/>
  <c r="C60" i="80"/>
  <c r="A61" i="80"/>
  <c r="B61" i="80"/>
  <c r="C61" i="80"/>
  <c r="A62" i="80"/>
  <c r="B62" i="80"/>
  <c r="C62" i="80"/>
  <c r="A63" i="80"/>
  <c r="B63" i="80"/>
  <c r="C63" i="80"/>
  <c r="A64" i="80"/>
  <c r="B64" i="80"/>
  <c r="C64" i="80"/>
  <c r="A65" i="80"/>
  <c r="B65" i="80"/>
  <c r="C65" i="80"/>
  <c r="A66" i="80"/>
  <c r="B66" i="80"/>
  <c r="C66" i="80"/>
  <c r="A67" i="80"/>
  <c r="B67" i="80"/>
  <c r="C67" i="80"/>
  <c r="A68" i="80"/>
  <c r="B68" i="80"/>
  <c r="C68" i="80"/>
  <c r="A69" i="80"/>
  <c r="B69" i="80"/>
  <c r="C69" i="80"/>
  <c r="B70" i="80"/>
  <c r="C70" i="80"/>
  <c r="B74" i="80"/>
  <c r="C74" i="80"/>
  <c r="B75" i="80"/>
  <c r="C75" i="80"/>
  <c r="C76" i="80"/>
  <c r="B77" i="80"/>
  <c r="C77" i="80"/>
  <c r="C79" i="80"/>
  <c r="C81" i="80"/>
  <c r="B83" i="80"/>
  <c r="C83" i="80"/>
  <c r="B85" i="80"/>
  <c r="J2" i="75"/>
  <c r="B6" i="75"/>
  <c r="I6" i="75"/>
  <c r="A7" i="75"/>
  <c r="B7" i="75"/>
  <c r="G7" i="75"/>
  <c r="H7" i="75"/>
  <c r="I7" i="75"/>
  <c r="A8" i="75"/>
  <c r="B8" i="75"/>
  <c r="G8" i="75"/>
  <c r="H8" i="75"/>
  <c r="I8" i="75"/>
  <c r="A9" i="75"/>
  <c r="B9" i="75"/>
  <c r="E9" i="75"/>
  <c r="G9" i="75"/>
  <c r="H9" i="75"/>
  <c r="I9" i="75"/>
  <c r="A10" i="75"/>
  <c r="B10" i="75"/>
  <c r="E10" i="75"/>
  <c r="G10" i="75"/>
  <c r="H10" i="75"/>
  <c r="I10" i="75"/>
  <c r="K10" i="75"/>
  <c r="A11" i="75"/>
  <c r="B11" i="75"/>
  <c r="G11" i="75"/>
  <c r="H11" i="75"/>
  <c r="I11" i="75"/>
  <c r="A12" i="75"/>
  <c r="B12" i="75"/>
  <c r="E12" i="75"/>
  <c r="G12" i="75"/>
  <c r="H12" i="75"/>
  <c r="I12" i="75"/>
  <c r="J12" i="75"/>
  <c r="A13" i="75"/>
  <c r="B13" i="75"/>
  <c r="E13" i="75"/>
  <c r="G13" i="75"/>
  <c r="H13" i="75"/>
  <c r="I13" i="75"/>
  <c r="J13" i="75"/>
  <c r="K13" i="75"/>
  <c r="A14" i="75"/>
  <c r="B14" i="75"/>
  <c r="E14" i="75"/>
  <c r="G14" i="75"/>
  <c r="H14" i="75"/>
  <c r="I14" i="75"/>
  <c r="J14" i="75"/>
  <c r="K14" i="75"/>
  <c r="A15" i="75"/>
  <c r="B15" i="75"/>
  <c r="E15" i="75"/>
  <c r="G15" i="75"/>
  <c r="H15" i="75"/>
  <c r="I15" i="75"/>
  <c r="J15" i="75"/>
  <c r="K15" i="75"/>
  <c r="A16" i="75"/>
  <c r="B16" i="75"/>
  <c r="E16" i="75"/>
  <c r="G16" i="75"/>
  <c r="H16" i="75"/>
  <c r="I16" i="75"/>
  <c r="J16" i="75"/>
  <c r="K16" i="75"/>
  <c r="A17" i="75"/>
  <c r="B17" i="75"/>
  <c r="E17" i="75"/>
  <c r="G17" i="75"/>
  <c r="H17" i="75"/>
  <c r="I17" i="75"/>
  <c r="J17" i="75"/>
  <c r="K17" i="75"/>
  <c r="A18" i="75"/>
  <c r="B18" i="75"/>
  <c r="E18" i="75"/>
  <c r="G18" i="75"/>
  <c r="H18" i="75"/>
  <c r="I18" i="75"/>
  <c r="J18" i="75"/>
  <c r="K18" i="75"/>
  <c r="A19" i="75"/>
  <c r="B19" i="75"/>
  <c r="E19" i="75"/>
  <c r="G19" i="75"/>
  <c r="H19" i="75"/>
  <c r="I19" i="75"/>
  <c r="J19" i="75"/>
  <c r="K19" i="75"/>
  <c r="A20" i="75"/>
  <c r="B20" i="75"/>
  <c r="E20" i="75"/>
  <c r="G20" i="75"/>
  <c r="H20" i="75"/>
  <c r="I20" i="75"/>
  <c r="J20" i="75"/>
  <c r="K20" i="75"/>
  <c r="A21" i="75"/>
  <c r="B21" i="75"/>
  <c r="E21" i="75"/>
  <c r="G21" i="75"/>
  <c r="H21" i="75"/>
  <c r="I21" i="75"/>
  <c r="J21" i="75"/>
  <c r="K21" i="75"/>
  <c r="A22" i="75"/>
  <c r="B22" i="75"/>
  <c r="E22" i="75"/>
  <c r="G22" i="75"/>
  <c r="H22" i="75"/>
  <c r="I22" i="75"/>
  <c r="J22" i="75"/>
  <c r="K22" i="75"/>
  <c r="A23" i="75"/>
  <c r="B23" i="75"/>
  <c r="E23" i="75"/>
  <c r="G23" i="75"/>
  <c r="H23" i="75"/>
  <c r="I23" i="75"/>
  <c r="J23" i="75"/>
  <c r="K23" i="75"/>
  <c r="A24" i="75"/>
  <c r="B24" i="75"/>
  <c r="E24" i="75"/>
  <c r="G24" i="75"/>
  <c r="H24" i="75"/>
  <c r="I24" i="75"/>
  <c r="J24" i="75"/>
  <c r="K24" i="75"/>
  <c r="A25" i="75"/>
  <c r="B25" i="75"/>
  <c r="E25" i="75"/>
  <c r="G25" i="75"/>
  <c r="H25" i="75"/>
  <c r="I25" i="75"/>
  <c r="J25" i="75"/>
  <c r="K25" i="75"/>
  <c r="A26" i="75"/>
  <c r="B26" i="75"/>
  <c r="E26" i="75"/>
  <c r="G26" i="75"/>
  <c r="H26" i="75"/>
  <c r="I26" i="75"/>
  <c r="J26" i="75"/>
  <c r="K26" i="75"/>
  <c r="A27" i="75"/>
  <c r="B27" i="75"/>
  <c r="E27" i="75"/>
  <c r="G27" i="75"/>
  <c r="H27" i="75"/>
  <c r="I27" i="75"/>
  <c r="J27" i="75"/>
  <c r="K27" i="75"/>
  <c r="A28" i="75"/>
  <c r="B28" i="75"/>
  <c r="E28" i="75"/>
  <c r="G28" i="75"/>
  <c r="H28" i="75"/>
  <c r="I28" i="75"/>
  <c r="J28" i="75"/>
  <c r="K28" i="75"/>
  <c r="A29" i="75"/>
  <c r="B29" i="75"/>
  <c r="E29" i="75"/>
  <c r="G29" i="75"/>
  <c r="H29" i="75"/>
  <c r="I29" i="75"/>
  <c r="J29" i="75"/>
  <c r="K29" i="75"/>
  <c r="A30" i="75"/>
  <c r="B30" i="75"/>
  <c r="E30" i="75"/>
  <c r="G30" i="75"/>
  <c r="H30" i="75"/>
  <c r="I30" i="75"/>
  <c r="J30" i="75"/>
  <c r="K30" i="75"/>
  <c r="A31" i="75"/>
  <c r="B31" i="75"/>
  <c r="E31" i="75"/>
  <c r="G31" i="75"/>
  <c r="H31" i="75"/>
  <c r="I31" i="75"/>
  <c r="J31" i="75"/>
  <c r="K31" i="75"/>
  <c r="A32" i="75"/>
  <c r="B32" i="75"/>
  <c r="E32" i="75"/>
  <c r="G32" i="75"/>
  <c r="H32" i="75"/>
  <c r="I32" i="75"/>
  <c r="J32" i="75"/>
  <c r="K32" i="75"/>
  <c r="A33" i="75"/>
  <c r="B33" i="75"/>
  <c r="E33" i="75"/>
  <c r="G33" i="75"/>
  <c r="H33" i="75"/>
  <c r="I33" i="75"/>
  <c r="J33" i="75"/>
  <c r="K33" i="75"/>
  <c r="A34" i="75"/>
  <c r="E34" i="75"/>
  <c r="G34" i="75"/>
  <c r="H34" i="75"/>
  <c r="I34" i="75"/>
  <c r="J34" i="75"/>
  <c r="K34" i="75"/>
  <c r="A35" i="75"/>
  <c r="E35" i="75"/>
  <c r="G35" i="75"/>
  <c r="H35" i="75"/>
  <c r="I35" i="75"/>
  <c r="J35" i="75"/>
  <c r="K35" i="75"/>
  <c r="J40" i="75"/>
  <c r="J42" i="75"/>
  <c r="D2" i="76"/>
  <c r="D6" i="76"/>
  <c r="H6" i="76"/>
  <c r="A7" i="76"/>
  <c r="D7" i="76"/>
  <c r="A8" i="76"/>
  <c r="B8" i="76"/>
  <c r="C8" i="76"/>
  <c r="D8" i="76"/>
  <c r="A9" i="76"/>
  <c r="B9" i="76"/>
  <c r="C9" i="76"/>
  <c r="D9" i="76"/>
  <c r="A10" i="76"/>
  <c r="B10" i="76"/>
  <c r="C10" i="76"/>
  <c r="D10" i="76"/>
  <c r="A11" i="76"/>
  <c r="B11" i="76"/>
  <c r="C11" i="76"/>
  <c r="D11" i="76"/>
  <c r="A12" i="76"/>
  <c r="B12" i="76"/>
  <c r="C12" i="76"/>
  <c r="D12" i="76"/>
  <c r="A13" i="76"/>
  <c r="B13" i="76"/>
  <c r="C13" i="76"/>
  <c r="D13" i="76"/>
  <c r="A14" i="76"/>
  <c r="B14" i="76"/>
  <c r="C14" i="76"/>
  <c r="D14" i="76"/>
  <c r="A15" i="76"/>
  <c r="B15" i="76"/>
  <c r="C15" i="76"/>
  <c r="D15" i="76"/>
  <c r="A16" i="76"/>
  <c r="B16" i="76"/>
  <c r="C16" i="76"/>
  <c r="D16" i="76"/>
  <c r="A17" i="76"/>
  <c r="B17" i="76"/>
  <c r="C17" i="76"/>
  <c r="D17" i="76"/>
  <c r="A18" i="76"/>
  <c r="B18" i="76"/>
  <c r="C18" i="76"/>
  <c r="D18" i="76"/>
  <c r="A19" i="76"/>
  <c r="B19" i="76"/>
  <c r="C19" i="76"/>
  <c r="D19" i="76"/>
  <c r="A20" i="76"/>
  <c r="B20" i="76"/>
  <c r="C20" i="76"/>
  <c r="D20" i="76"/>
  <c r="A21" i="76"/>
  <c r="B21" i="76"/>
  <c r="C21" i="76"/>
  <c r="D21" i="76"/>
  <c r="A22" i="76"/>
  <c r="B22" i="76"/>
  <c r="C22" i="76"/>
  <c r="D22" i="76"/>
  <c r="A23" i="76"/>
  <c r="B23" i="76"/>
  <c r="C23" i="76"/>
  <c r="D23" i="76"/>
  <c r="A24" i="76"/>
  <c r="B24" i="76"/>
  <c r="C24" i="76"/>
  <c r="D24" i="76"/>
  <c r="A25" i="76"/>
  <c r="B25" i="76"/>
  <c r="C25" i="76"/>
  <c r="D25" i="76"/>
  <c r="A26" i="76"/>
  <c r="B26" i="76"/>
  <c r="C26" i="76"/>
  <c r="D26" i="76"/>
  <c r="A27" i="76"/>
  <c r="B27" i="76"/>
  <c r="C27" i="76"/>
  <c r="D27" i="76"/>
  <c r="A28" i="76"/>
  <c r="B28" i="76"/>
  <c r="C28" i="76"/>
  <c r="D28" i="76"/>
  <c r="A29" i="76"/>
  <c r="B29" i="76"/>
  <c r="C29" i="76"/>
  <c r="D29" i="76"/>
  <c r="A30" i="76"/>
  <c r="B30" i="76"/>
  <c r="C30" i="76"/>
  <c r="D30" i="76"/>
  <c r="A31" i="76"/>
  <c r="B31" i="76"/>
  <c r="C31" i="76"/>
  <c r="D31" i="76"/>
  <c r="A32" i="76"/>
  <c r="B32" i="76"/>
  <c r="C32" i="76"/>
  <c r="D32" i="76"/>
  <c r="A33" i="76"/>
  <c r="B33" i="76"/>
  <c r="C33" i="76"/>
  <c r="D33" i="76"/>
  <c r="A34" i="76"/>
  <c r="B34" i="76"/>
  <c r="C34" i="76"/>
  <c r="D34" i="76"/>
  <c r="A35" i="76"/>
  <c r="B35" i="76"/>
  <c r="C35" i="76"/>
  <c r="D35" i="76"/>
  <c r="B38" i="76"/>
  <c r="C38" i="76"/>
  <c r="B39" i="76"/>
  <c r="C39" i="76"/>
  <c r="A40" i="76"/>
  <c r="B40" i="76"/>
  <c r="C40" i="76"/>
  <c r="D40" i="76"/>
  <c r="A41" i="76"/>
  <c r="B41" i="76"/>
  <c r="C41" i="76"/>
  <c r="D41" i="76"/>
  <c r="A42" i="76"/>
  <c r="B42" i="76"/>
  <c r="C42" i="76"/>
  <c r="D42" i="76"/>
  <c r="A43" i="76"/>
  <c r="B43" i="76"/>
  <c r="C43" i="76"/>
  <c r="D43" i="76"/>
  <c r="A44" i="76"/>
  <c r="B44" i="76"/>
  <c r="C44" i="76"/>
  <c r="D44" i="76"/>
  <c r="A45" i="76"/>
  <c r="B45" i="76"/>
  <c r="C45" i="76"/>
  <c r="D45" i="76"/>
  <c r="A46" i="76"/>
  <c r="B46" i="76"/>
  <c r="C46" i="76"/>
  <c r="D46" i="76"/>
  <c r="A47" i="76"/>
  <c r="B47" i="76"/>
  <c r="C47" i="76"/>
  <c r="D47" i="76"/>
  <c r="A48" i="76"/>
  <c r="B48" i="76"/>
  <c r="C48" i="76"/>
  <c r="D48" i="76"/>
  <c r="A49" i="76"/>
  <c r="B49" i="76"/>
  <c r="C49" i="76"/>
  <c r="D49" i="76"/>
  <c r="A50" i="76"/>
  <c r="B50" i="76"/>
  <c r="C50" i="76"/>
  <c r="D50" i="76"/>
  <c r="A51" i="76"/>
  <c r="B51" i="76"/>
  <c r="C51" i="76"/>
  <c r="D51" i="76"/>
  <c r="A52" i="76"/>
  <c r="B52" i="76"/>
  <c r="C52" i="76"/>
  <c r="D52" i="76"/>
  <c r="A53" i="76"/>
  <c r="B53" i="76"/>
  <c r="C53" i="76"/>
  <c r="D53" i="76"/>
  <c r="A54" i="76"/>
  <c r="B54" i="76"/>
  <c r="C54" i="76"/>
  <c r="D54" i="76"/>
  <c r="A55" i="76"/>
  <c r="B55" i="76"/>
  <c r="C55" i="76"/>
  <c r="D55" i="76"/>
  <c r="A56" i="76"/>
  <c r="B56" i="76"/>
  <c r="C56" i="76"/>
  <c r="D56" i="76"/>
  <c r="A57" i="76"/>
  <c r="B57" i="76"/>
  <c r="C57" i="76"/>
  <c r="D57" i="76"/>
  <c r="A58" i="76"/>
  <c r="B58" i="76"/>
  <c r="C58" i="76"/>
  <c r="D58" i="76"/>
  <c r="A59" i="76"/>
  <c r="B59" i="76"/>
  <c r="C59" i="76"/>
  <c r="D59" i="76"/>
  <c r="A60" i="76"/>
  <c r="B60" i="76"/>
  <c r="C60" i="76"/>
  <c r="D60" i="76"/>
  <c r="A61" i="76"/>
  <c r="B61" i="76"/>
  <c r="C61" i="76"/>
  <c r="D61" i="76"/>
  <c r="A62" i="76"/>
  <c r="B62" i="76"/>
  <c r="C62" i="76"/>
  <c r="D62" i="76"/>
  <c r="A63" i="76"/>
  <c r="B63" i="76"/>
  <c r="C63" i="76"/>
  <c r="D63" i="76"/>
  <c r="A64" i="76"/>
  <c r="B64" i="76"/>
  <c r="C64" i="76"/>
  <c r="D64" i="76"/>
  <c r="A65" i="76"/>
  <c r="B65" i="76"/>
  <c r="C65" i="76"/>
  <c r="D65" i="76"/>
  <c r="A66" i="76"/>
  <c r="B66" i="76"/>
  <c r="C66" i="76"/>
  <c r="D66" i="76"/>
  <c r="A67" i="76"/>
  <c r="B67" i="76"/>
  <c r="C67" i="76"/>
  <c r="D67" i="76"/>
  <c r="A68" i="76"/>
  <c r="B68" i="76"/>
  <c r="C68" i="76"/>
  <c r="D68" i="76"/>
  <c r="A69" i="76"/>
  <c r="B69" i="76"/>
  <c r="C69" i="76"/>
  <c r="D69" i="76"/>
  <c r="B70" i="76"/>
  <c r="C70" i="76"/>
  <c r="D70" i="76"/>
  <c r="B73" i="76"/>
  <c r="C73" i="76"/>
  <c r="D74" i="76"/>
  <c r="B75" i="76"/>
  <c r="C75" i="76"/>
  <c r="D75" i="76"/>
  <c r="D76" i="76"/>
  <c r="B77" i="76"/>
  <c r="C77" i="76"/>
  <c r="D77" i="76"/>
  <c r="D79" i="76"/>
  <c r="D81" i="76"/>
  <c r="B83" i="76"/>
  <c r="C83" i="76"/>
  <c r="D83" i="76"/>
  <c r="B85" i="76"/>
  <c r="C85" i="76"/>
  <c r="D85" i="76"/>
  <c r="M2" i="70"/>
  <c r="M5" i="70"/>
  <c r="C7" i="70"/>
  <c r="D7" i="70"/>
  <c r="J7" i="70"/>
  <c r="M7" i="70"/>
  <c r="B8" i="70"/>
  <c r="C8" i="70"/>
  <c r="D8" i="70"/>
  <c r="E8" i="70"/>
  <c r="J8" i="70"/>
  <c r="M8" i="70"/>
  <c r="J9" i="70"/>
  <c r="M9" i="70"/>
  <c r="J10" i="70"/>
  <c r="M10" i="70"/>
  <c r="J11" i="70"/>
  <c r="B12" i="70"/>
  <c r="C12" i="70"/>
  <c r="F12" i="70"/>
  <c r="G12" i="70"/>
  <c r="H12" i="70"/>
  <c r="C15" i="70"/>
  <c r="D15" i="70"/>
  <c r="J15" i="70"/>
  <c r="B16" i="70"/>
  <c r="C16" i="70"/>
  <c r="D16" i="70"/>
  <c r="E16" i="70"/>
  <c r="F16" i="70"/>
  <c r="I16" i="70"/>
  <c r="J16" i="70"/>
  <c r="J17" i="70"/>
  <c r="B18" i="70"/>
  <c r="C18" i="70"/>
  <c r="F18" i="70"/>
  <c r="G18" i="70"/>
  <c r="H18" i="70"/>
  <c r="I18" i="70"/>
  <c r="J21" i="70"/>
  <c r="B22" i="70"/>
  <c r="C22" i="70"/>
  <c r="D22" i="70"/>
  <c r="B24" i="70"/>
  <c r="C24" i="70"/>
  <c r="D24" i="70"/>
  <c r="H24" i="70"/>
  <c r="B26" i="70"/>
  <c r="B27" i="70"/>
  <c r="B28" i="70"/>
  <c r="B29" i="70"/>
  <c r="B30" i="70"/>
  <c r="B31" i="70"/>
  <c r="B32" i="70"/>
  <c r="B33" i="70"/>
  <c r="B34" i="70"/>
  <c r="B8" i="68"/>
  <c r="D8" i="68"/>
  <c r="E8" i="68"/>
  <c r="K8" i="68"/>
  <c r="Z8" i="68"/>
  <c r="A9" i="68"/>
  <c r="B9" i="68"/>
  <c r="D9" i="68"/>
  <c r="E9" i="68"/>
  <c r="K9" i="68"/>
  <c r="Z9" i="68"/>
  <c r="A10" i="68"/>
  <c r="B10" i="68"/>
  <c r="D10" i="68"/>
  <c r="E10" i="68"/>
  <c r="K10" i="68"/>
  <c r="Z10" i="68"/>
  <c r="A11" i="68"/>
  <c r="B11" i="68"/>
  <c r="D11" i="68"/>
  <c r="E11" i="68"/>
  <c r="K11" i="68"/>
  <c r="Z11" i="68"/>
  <c r="A12" i="68"/>
  <c r="B12" i="68"/>
  <c r="D12" i="68"/>
  <c r="E12" i="68"/>
  <c r="K12" i="68"/>
  <c r="Z12" i="68"/>
  <c r="A13" i="68"/>
  <c r="B13" i="68"/>
  <c r="D13" i="68"/>
  <c r="E13" i="68"/>
  <c r="K13" i="68"/>
  <c r="Z13" i="68"/>
  <c r="A14" i="68"/>
  <c r="B14" i="68"/>
  <c r="D14" i="68"/>
  <c r="E14" i="68"/>
  <c r="K14" i="68"/>
  <c r="Z14" i="68"/>
  <c r="A15" i="68"/>
  <c r="B15" i="68"/>
  <c r="D15" i="68"/>
  <c r="E15" i="68"/>
  <c r="K15" i="68"/>
  <c r="Z15" i="68"/>
  <c r="A16" i="68"/>
  <c r="B16" i="68"/>
  <c r="D16" i="68"/>
  <c r="E16" i="68"/>
  <c r="K16" i="68"/>
  <c r="Z16" i="68"/>
  <c r="A17" i="68"/>
  <c r="B17" i="68"/>
  <c r="D17" i="68"/>
  <c r="E17" i="68"/>
  <c r="K17" i="68"/>
  <c r="Z17" i="68"/>
  <c r="A18" i="68"/>
  <c r="B18" i="68"/>
  <c r="D18" i="68"/>
  <c r="E18" i="68"/>
  <c r="K18" i="68"/>
  <c r="Z18" i="68"/>
  <c r="A19" i="68"/>
  <c r="B19" i="68"/>
  <c r="D19" i="68"/>
  <c r="E19" i="68"/>
  <c r="K19" i="68"/>
  <c r="Z19" i="68"/>
  <c r="A20" i="68"/>
  <c r="B20" i="68"/>
  <c r="D20" i="68"/>
  <c r="E20" i="68"/>
  <c r="K20" i="68"/>
  <c r="Z20" i="68"/>
  <c r="A21" i="68"/>
  <c r="B21" i="68"/>
  <c r="D21" i="68"/>
  <c r="E21" i="68"/>
  <c r="K21" i="68"/>
  <c r="Z21" i="68"/>
  <c r="A22" i="68"/>
  <c r="B22" i="68"/>
  <c r="D22" i="68"/>
  <c r="E22" i="68"/>
  <c r="K22" i="68"/>
  <c r="Z22" i="68"/>
  <c r="A23" i="68"/>
  <c r="B23" i="68"/>
  <c r="D23" i="68"/>
  <c r="E23" i="68"/>
  <c r="K23" i="68"/>
  <c r="Z23" i="68"/>
  <c r="A24" i="68"/>
  <c r="B24" i="68"/>
  <c r="D24" i="68"/>
  <c r="E24" i="68"/>
  <c r="K24" i="68"/>
  <c r="Z24" i="68"/>
  <c r="A25" i="68"/>
  <c r="B25" i="68"/>
  <c r="D25" i="68"/>
  <c r="E25" i="68"/>
  <c r="K25" i="68"/>
  <c r="Z25" i="68"/>
  <c r="A26" i="68"/>
  <c r="B26" i="68"/>
  <c r="D26" i="68"/>
  <c r="E26" i="68"/>
  <c r="K26" i="68"/>
  <c r="Z26" i="68"/>
  <c r="A27" i="68"/>
  <c r="B27" i="68"/>
  <c r="D27" i="68"/>
  <c r="E27" i="68"/>
  <c r="K27" i="68"/>
  <c r="Z27" i="68"/>
  <c r="A28" i="68"/>
  <c r="B28" i="68"/>
  <c r="D28" i="68"/>
  <c r="E28" i="68"/>
  <c r="K28" i="68"/>
  <c r="Z28" i="68"/>
  <c r="A29" i="68"/>
  <c r="B29" i="68"/>
  <c r="D29" i="68"/>
  <c r="E29" i="68"/>
  <c r="K29" i="68"/>
  <c r="Z29" i="68"/>
  <c r="A30" i="68"/>
  <c r="B30" i="68"/>
  <c r="D30" i="68"/>
  <c r="E30" i="68"/>
  <c r="K30" i="68"/>
  <c r="Z30" i="68"/>
  <c r="A31" i="68"/>
  <c r="B31" i="68"/>
  <c r="D31" i="68"/>
  <c r="E31" i="68"/>
  <c r="K31" i="68"/>
  <c r="Z31" i="68"/>
  <c r="A32" i="68"/>
  <c r="B32" i="68"/>
  <c r="D32" i="68"/>
  <c r="E32" i="68"/>
  <c r="K32" i="68"/>
  <c r="Z32" i="68"/>
  <c r="A33" i="68"/>
  <c r="B33" i="68"/>
  <c r="D33" i="68"/>
  <c r="E33" i="68"/>
  <c r="K33" i="68"/>
  <c r="Z33" i="68"/>
  <c r="A34" i="68"/>
  <c r="B34" i="68"/>
  <c r="D34" i="68"/>
  <c r="E34" i="68"/>
  <c r="K34" i="68"/>
  <c r="Z34" i="68"/>
  <c r="A35" i="68"/>
  <c r="B35" i="68"/>
  <c r="D35" i="68"/>
  <c r="E35" i="68"/>
  <c r="K35" i="68"/>
  <c r="Z35" i="68"/>
  <c r="A36" i="68"/>
  <c r="B36" i="68"/>
  <c r="D36" i="68"/>
  <c r="E36" i="68"/>
  <c r="K36" i="68"/>
  <c r="Z36" i="68"/>
  <c r="A37" i="68"/>
  <c r="B37" i="68"/>
  <c r="D37" i="68"/>
  <c r="E37" i="68"/>
  <c r="K37" i="68"/>
  <c r="Z37" i="68"/>
  <c r="H38" i="68"/>
  <c r="I38" i="68"/>
  <c r="J38" i="68"/>
  <c r="K38" i="68"/>
  <c r="M38" i="68"/>
  <c r="N38" i="68"/>
  <c r="O38" i="68"/>
  <c r="P38" i="68"/>
  <c r="Q38" i="68"/>
  <c r="R38" i="68"/>
  <c r="S38" i="68"/>
  <c r="T38" i="68"/>
  <c r="U38" i="68"/>
  <c r="V38" i="68"/>
  <c r="W38" i="68"/>
  <c r="X38" i="68"/>
  <c r="Y38" i="68"/>
  <c r="Z38" i="68"/>
  <c r="AA38" i="68"/>
  <c r="AB38" i="68"/>
  <c r="AC38" i="68"/>
  <c r="AD38" i="68"/>
  <c r="AE38" i="68"/>
  <c r="AF38" i="68"/>
  <c r="AG38" i="68"/>
  <c r="AH38" i="68"/>
  <c r="AI38" i="68"/>
  <c r="AJ38" i="68"/>
  <c r="AK38" i="68"/>
  <c r="AL38" i="68"/>
  <c r="AM38" i="68"/>
  <c r="AN38" i="68"/>
  <c r="AO38" i="68"/>
  <c r="AP38" i="68"/>
  <c r="AQ38" i="68"/>
  <c r="AR38" i="68"/>
  <c r="AS38" i="68"/>
  <c r="AT38" i="68"/>
  <c r="AU38" i="68"/>
  <c r="AV38" i="68"/>
  <c r="AW38" i="68"/>
  <c r="AX38" i="68"/>
  <c r="AY38" i="68"/>
  <c r="AZ38" i="68"/>
  <c r="BA38" i="68"/>
  <c r="BB38" i="68"/>
  <c r="BC38" i="68"/>
  <c r="BD38" i="68"/>
  <c r="BE38" i="68"/>
  <c r="BF38" i="68"/>
  <c r="BG38" i="68"/>
  <c r="BH38" i="68"/>
  <c r="BI38" i="68"/>
  <c r="BJ38" i="68"/>
  <c r="B39" i="68"/>
  <c r="D39" i="68"/>
  <c r="E39" i="68"/>
  <c r="B12" i="69"/>
  <c r="B13" i="69"/>
  <c r="B14" i="69"/>
  <c r="B16" i="69"/>
  <c r="B17" i="69"/>
  <c r="B24" i="69"/>
  <c r="B28" i="69"/>
  <c r="B34" i="69"/>
  <c r="B35" i="69"/>
  <c r="B40" i="69"/>
  <c r="I4" i="82"/>
  <c r="E8" i="82"/>
  <c r="G8" i="82"/>
  <c r="L8" i="82"/>
  <c r="M8" i="82"/>
  <c r="N8" i="82"/>
  <c r="O8" i="82"/>
  <c r="P8" i="82"/>
  <c r="Q8" i="82"/>
  <c r="E9" i="82"/>
  <c r="G9" i="82"/>
  <c r="L9" i="82"/>
  <c r="M9" i="82"/>
  <c r="N9" i="82"/>
  <c r="O9" i="82"/>
  <c r="P9" i="82"/>
  <c r="Q9" i="82"/>
  <c r="C10" i="82"/>
  <c r="G10" i="82"/>
  <c r="L10" i="82"/>
  <c r="M10" i="82"/>
  <c r="N10" i="82"/>
  <c r="O10" i="82"/>
  <c r="P10" i="82"/>
  <c r="Q10" i="82"/>
  <c r="C11" i="82"/>
  <c r="G11" i="82"/>
  <c r="L11" i="82"/>
  <c r="M11" i="82"/>
  <c r="N11" i="82"/>
  <c r="O11" i="82"/>
  <c r="P11" i="82"/>
  <c r="Q11" i="82"/>
  <c r="C12" i="82"/>
  <c r="G12" i="82"/>
  <c r="L12" i="82"/>
  <c r="M12" i="82"/>
  <c r="N12" i="82"/>
  <c r="O12" i="82"/>
  <c r="P12" i="82"/>
  <c r="Q12" i="82"/>
  <c r="F13" i="82"/>
  <c r="L13" i="82"/>
  <c r="M13" i="82"/>
  <c r="N13" i="82"/>
  <c r="O13" i="82"/>
  <c r="P13" i="82"/>
  <c r="Q13" i="82"/>
  <c r="F14" i="82"/>
  <c r="F14" i="82" a="1"/>
  <c r="F15" i="82"/>
  <c r="P21" i="82"/>
  <c r="P22" i="82"/>
  <c r="P23" i="82"/>
  <c r="P24" i="82"/>
  <c r="C6" i="73"/>
  <c r="D6" i="73"/>
  <c r="E6" i="73"/>
  <c r="F6" i="73"/>
  <c r="G6" i="73"/>
  <c r="H6" i="73"/>
  <c r="I6" i="73"/>
  <c r="C7" i="73"/>
  <c r="D7" i="73"/>
  <c r="H7" i="73"/>
  <c r="C8" i="73"/>
  <c r="D8" i="73"/>
  <c r="H8" i="73"/>
  <c r="C9" i="73"/>
  <c r="E9" i="73"/>
  <c r="H9" i="73"/>
  <c r="C10" i="73"/>
  <c r="H10" i="73"/>
  <c r="C11" i="73"/>
  <c r="D11" i="73"/>
  <c r="E11" i="73"/>
  <c r="F11" i="73"/>
  <c r="G11" i="73"/>
  <c r="H11" i="73"/>
  <c r="I11" i="73"/>
  <c r="C12" i="73"/>
  <c r="H12" i="73"/>
  <c r="C13" i="73"/>
  <c r="D13" i="73"/>
  <c r="E13" i="73"/>
  <c r="F13" i="73"/>
  <c r="G13" i="73"/>
  <c r="H13" i="73"/>
  <c r="I13" i="73"/>
  <c r="C14" i="73"/>
  <c r="D14" i="73"/>
  <c r="E14" i="73"/>
  <c r="H14" i="73"/>
  <c r="E15" i="73"/>
  <c r="H15" i="73"/>
  <c r="C16" i="73"/>
  <c r="E16" i="73"/>
  <c r="H16" i="73"/>
  <c r="B18" i="73"/>
  <c r="H18" i="73"/>
  <c r="E10" i="74"/>
  <c r="B11" i="74"/>
  <c r="F11" i="74"/>
  <c r="B14" i="74"/>
  <c r="A17" i="74"/>
  <c r="E19" i="74"/>
  <c r="F20" i="74"/>
  <c r="A23" i="74"/>
  <c r="E25" i="74"/>
  <c r="F26" i="74"/>
  <c r="G42" i="83" l="1"/>
  <c r="J8" i="79"/>
  <c r="K8" i="79"/>
  <c r="K9" i="79"/>
  <c r="J12" i="79"/>
  <c r="K12" i="79"/>
  <c r="K13" i="79"/>
  <c r="G42" i="79"/>
  <c r="E26" i="18"/>
  <c r="E28" i="18"/>
  <c r="E33" i="18"/>
  <c r="J34" i="18"/>
  <c r="G42" i="18"/>
  <c r="E7" i="78"/>
  <c r="J8" i="78"/>
  <c r="K8" i="78"/>
  <c r="J9" i="78"/>
  <c r="K9" i="78"/>
  <c r="E10" i="78"/>
  <c r="J11" i="78"/>
  <c r="K11" i="78"/>
  <c r="E12" i="78"/>
  <c r="E14" i="78"/>
  <c r="E15" i="78"/>
  <c r="K17" i="78"/>
  <c r="J25" i="78"/>
  <c r="K25" i="78"/>
  <c r="J28" i="78"/>
  <c r="K30" i="78"/>
  <c r="J31" i="78"/>
  <c r="D12" i="73"/>
  <c r="J7" i="79"/>
  <c r="J36" i="79" s="1"/>
  <c r="J44" i="79" s="1"/>
  <c r="K7" i="79"/>
  <c r="E26" i="78"/>
  <c r="J30" i="78"/>
  <c r="K31" i="78"/>
  <c r="J32" i="78"/>
  <c r="J33" i="78"/>
  <c r="E7" i="75"/>
  <c r="J10" i="75"/>
  <c r="J11" i="79"/>
  <c r="K11" i="79"/>
  <c r="J29" i="18"/>
  <c r="J32" i="18"/>
  <c r="K35" i="18"/>
  <c r="J6" i="78"/>
  <c r="E13" i="78"/>
  <c r="J16" i="78"/>
  <c r="J27" i="78"/>
  <c r="G42" i="78"/>
  <c r="C85" i="80"/>
  <c r="E8" i="75"/>
  <c r="J9" i="75"/>
  <c r="E11" i="75"/>
  <c r="D9" i="73"/>
  <c r="C15" i="73"/>
  <c r="E6" i="75"/>
  <c r="D10" i="73"/>
  <c r="F14" i="73"/>
  <c r="G14" i="73" s="1"/>
  <c r="I14" i="73" s="1"/>
  <c r="D16" i="73"/>
  <c r="F16" i="73" s="1"/>
  <c r="G16" i="73" s="1"/>
  <c r="I16" i="73" s="1"/>
  <c r="G42" i="75"/>
  <c r="D12" i="70"/>
  <c r="D18" i="70"/>
  <c r="E22" i="70"/>
  <c r="J23" i="70"/>
  <c r="K26" i="18" l="1"/>
  <c r="K27" i="18"/>
  <c r="J26" i="18"/>
  <c r="J28" i="18"/>
  <c r="K29" i="18"/>
  <c r="K28" i="18"/>
  <c r="J33" i="18"/>
  <c r="K33" i="18"/>
  <c r="K7" i="78"/>
  <c r="J7" i="78"/>
  <c r="J10" i="78"/>
  <c r="K10" i="78"/>
  <c r="J12" i="78"/>
  <c r="K12" i="78"/>
  <c r="J14" i="78"/>
  <c r="K14" i="78"/>
  <c r="K15" i="78"/>
  <c r="J15" i="78"/>
  <c r="E12" i="73"/>
  <c r="J46" i="79"/>
  <c r="K26" i="78"/>
  <c r="J26" i="78"/>
  <c r="K27" i="78"/>
  <c r="K7" i="75"/>
  <c r="J7" i="75"/>
  <c r="K13" i="78"/>
  <c r="J13" i="78"/>
  <c r="K8" i="75"/>
  <c r="J8" i="75"/>
  <c r="K9" i="75"/>
  <c r="K12" i="75"/>
  <c r="K11" i="75"/>
  <c r="J11" i="75"/>
  <c r="F9" i="73"/>
  <c r="G9" i="73" s="1"/>
  <c r="I9" i="73" s="1"/>
  <c r="C18" i="73"/>
  <c r="D15" i="73"/>
  <c r="F15" i="73" s="1"/>
  <c r="G15" i="73" s="1"/>
  <c r="I15" i="73" s="1"/>
  <c r="J6" i="75"/>
  <c r="J36" i="75" s="1"/>
  <c r="J44" i="75" s="1"/>
  <c r="K6" i="75"/>
  <c r="E18" i="70"/>
  <c r="J18" i="70" s="1"/>
  <c r="E12" i="70"/>
  <c r="J12" i="70" s="1"/>
  <c r="E24" i="70"/>
  <c r="J24" i="70" s="1"/>
  <c r="J22" i="70"/>
  <c r="B25" i="69" s="1"/>
  <c r="B26" i="69" s="1"/>
  <c r="K34" i="18"/>
  <c r="K16" i="78"/>
  <c r="F12" i="73" l="1"/>
  <c r="G12" i="73" s="1"/>
  <c r="I12" i="73" s="1"/>
  <c r="E22" i="74"/>
  <c r="F23" i="74" s="1"/>
  <c r="E7" i="73"/>
  <c r="J46" i="75"/>
  <c r="J36" i="18"/>
  <c r="J44" i="18" s="1"/>
  <c r="J36" i="78"/>
  <c r="J44" i="78" s="1"/>
  <c r="D18" i="73"/>
  <c r="F7" i="73" l="1"/>
  <c r="J46" i="18"/>
  <c r="E10" i="73"/>
  <c r="F10" i="73" s="1"/>
  <c r="G10" i="73" s="1"/>
  <c r="I10" i="73" s="1"/>
  <c r="J46" i="78"/>
  <c r="E8" i="73"/>
  <c r="G7" i="73" l="1"/>
  <c r="E13" i="74"/>
  <c r="E16" i="74"/>
  <c r="F17" i="74" s="1"/>
  <c r="F8" i="73"/>
  <c r="G8" i="73" s="1"/>
  <c r="I8" i="73" s="1"/>
  <c r="E18" i="73"/>
  <c r="B30" i="69" s="1"/>
  <c r="G18" i="73" l="1"/>
  <c r="I7" i="73"/>
  <c r="I18" i="73" s="1"/>
  <c r="F14" i="74"/>
  <c r="F27" i="74" s="1"/>
  <c r="E27" i="74"/>
  <c r="F18" i="7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39" authorId="0" shapeId="0" xr:uid="{5A0A2F32-B0CE-4C79-96B4-A600675806AF}">
      <text>
        <r>
          <rPr>
            <sz val="10"/>
            <color indexed="81"/>
            <rFont val="Calibri"/>
            <family val="2"/>
          </rPr>
          <t xml:space="preserve">1MK+1.00% Same Day Rate Will Be Used For First Disbursement.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H4" authorId="0" shapeId="0" xr:uid="{F90E5CEF-6A14-4C4E-83F0-A2FB707A5B1E}">
      <text>
        <r>
          <rPr>
            <sz val="10"/>
            <color indexed="81"/>
            <rFont val="Calibri"/>
            <family val="2"/>
          </rPr>
          <t>1MK + 0.50% DOD &amp; Ist Working Day Of Every Quarter.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  <author>Naveed Mustafa</author>
  </authors>
  <commentList>
    <comment ref="H4" authorId="0" shapeId="0" xr:uid="{0C99398F-627E-4474-8742-59BCD1BA5DBE}">
      <text>
        <r>
          <rPr>
            <sz val="10"/>
            <color indexed="81"/>
            <rFont val="Calibri"/>
            <family val="2"/>
          </rPr>
          <t>1MK + 0.50% DOD &amp; Ist Working Day Of Every Quarter.</t>
        </r>
      </text>
    </comment>
    <comment ref="I20" authorId="1" shapeId="0" xr:uid="{1AB5021D-4C92-4FE0-970F-BBFE717B26BF}">
      <text>
        <r>
          <rPr>
            <b/>
            <sz val="9"/>
            <color indexed="81"/>
            <rFont val="Tahoma"/>
            <family val="2"/>
          </rPr>
          <t>Naveed Mustafa:</t>
        </r>
        <r>
          <rPr>
            <sz val="9"/>
            <color indexed="81"/>
            <rFont val="Tahoma"/>
            <family val="2"/>
          </rPr>
          <t xml:space="preserve">
Edit Markup Rate As on 14th of every Quarter.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B4" authorId="0" shapeId="0" xr:uid="{FE1A185D-073E-4066-9D8E-8986158C1D02}">
      <text>
        <r>
          <rPr>
            <b/>
            <sz val="9"/>
            <color indexed="81"/>
            <rFont val="Tahoma"/>
            <family val="2"/>
          </rPr>
          <t>1$ = 156.8 PKR As Per Business Recorder</t>
        </r>
      </text>
    </comment>
    <comment ref="B40" authorId="0" shapeId="0" xr:uid="{63886E0A-800A-4E53-9A95-D75A20340D46}">
      <text>
        <r>
          <rPr>
            <b/>
            <sz val="9"/>
            <color indexed="81"/>
            <rFont val="Tahoma"/>
            <family val="2"/>
          </rPr>
          <t>Rate Defined By Bank Alfalah At Date Of Creation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H4" authorId="0" shapeId="0" xr:uid="{00E09A56-8A58-4099-99BF-11C648162B7A}">
      <text>
        <r>
          <rPr>
            <sz val="10"/>
            <color indexed="81"/>
            <rFont val="Calibri"/>
            <family val="2"/>
          </rPr>
          <t>Ist Working Day Of Every Month.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39" authorId="0" shapeId="0" xr:uid="{3887AF19-C57D-419B-BB00-57283B2B7750}">
      <text>
        <r>
          <rPr>
            <sz val="10"/>
            <color indexed="81"/>
            <rFont val="Calibri"/>
            <family val="2"/>
          </rPr>
          <t xml:space="preserve">MK+0.75% Last working day of Disbursement. Reset on last working day of each quarter.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H4" authorId="0" shapeId="0" xr:uid="{03F89395-695F-42D4-8771-C405AE73C8A0}">
      <text>
        <r>
          <rPr>
            <sz val="10"/>
            <color indexed="81"/>
            <rFont val="Calibri"/>
            <family val="2"/>
          </rPr>
          <t>last Working Day Of disbursement and reset on last working day of Every quarter.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H4" authorId="0" shapeId="0" xr:uid="{CE16A7E3-ECCC-45E1-85E9-AD88F7E5384F}">
      <text>
        <r>
          <rPr>
            <sz val="10"/>
            <color indexed="81"/>
            <rFont val="Calibri"/>
            <family val="2"/>
          </rPr>
          <t>3MK + 1.25% Date of disbursement reset on Last Working Day of each Quarter.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39" authorId="0" shapeId="0" xr:uid="{59DF812D-9D5B-4739-B8B6-B4FBB869F71F}">
      <text>
        <r>
          <rPr>
            <sz val="9"/>
            <color indexed="81"/>
            <rFont val="Tahoma"/>
            <family val="2"/>
          </rPr>
          <t>3MK+1.00% At The Date Of Creation Of FATR TO Be applied For Whole Period.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39" authorId="0" shapeId="0" xr:uid="{A2EBBE57-BAE5-495E-A743-3F98DED2AF72}">
      <text>
        <r>
          <rPr>
            <sz val="10"/>
            <color indexed="81"/>
            <rFont val="Calibri"/>
            <family val="2"/>
          </rPr>
          <t xml:space="preserve">MK+0.50% Same Day Rate Will Be Used For First Disbursement and reset on last day of Previous Quarter.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39" authorId="0" shapeId="0" xr:uid="{D3DBCF60-D73C-4E74-B883-7B5FA7D71B45}">
      <text>
        <r>
          <rPr>
            <sz val="9"/>
            <color indexed="81"/>
            <rFont val="Tahoma"/>
            <family val="2"/>
          </rPr>
          <t>3MK+0.65% Last working day before the disbursementof Musawammah to be applied for whole Period.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Ali</author>
  </authors>
  <commentList>
    <comment ref="A39" authorId="0" shapeId="0" xr:uid="{99892F98-E28E-4905-9C68-CC52127E868D}">
      <text>
        <r>
          <rPr>
            <sz val="10"/>
            <color indexed="81"/>
            <rFont val="Calibri"/>
            <family val="2"/>
          </rPr>
          <t xml:space="preserve">MK+0.50% Same Day Rate Will Be Used For First Disbursement till maturity.
</t>
        </r>
      </text>
    </comment>
  </commentList>
</comments>
</file>

<file path=xl/sharedStrings.xml><?xml version="1.0" encoding="utf-8"?>
<sst xmlns="http://schemas.openxmlformats.org/spreadsheetml/2006/main" count="586" uniqueCount="296">
  <si>
    <t>Total</t>
  </si>
  <si>
    <t>Balance</t>
  </si>
  <si>
    <t>J. N. No.</t>
  </si>
  <si>
    <t>JOURNAL VOUCHER</t>
  </si>
  <si>
    <t>Date</t>
  </si>
  <si>
    <t>Line</t>
  </si>
  <si>
    <t>Text</t>
  </si>
  <si>
    <t>Debit</t>
  </si>
  <si>
    <t>Credit</t>
  </si>
  <si>
    <t>No.</t>
  </si>
  <si>
    <t>Rs.</t>
  </si>
  <si>
    <t>Adjustments</t>
  </si>
  <si>
    <t>Dr.</t>
  </si>
  <si>
    <t>Cr.</t>
  </si>
  <si>
    <t>H. N. No.</t>
  </si>
  <si>
    <t>General Ledger</t>
  </si>
  <si>
    <t>A/C #</t>
  </si>
  <si>
    <t>F. J. No.</t>
  </si>
  <si>
    <t>Total Provision</t>
  </si>
  <si>
    <t>Opening Balance</t>
  </si>
  <si>
    <t>Current Provision</t>
  </si>
  <si>
    <t>Net Provision</t>
  </si>
  <si>
    <t>SETTLEMENT DURING THE MONTH</t>
  </si>
  <si>
    <t>PRINCIPAL AMOUNT:</t>
  </si>
  <si>
    <t>SETTLEMENT:</t>
  </si>
  <si>
    <t>Bank</t>
  </si>
  <si>
    <t>Total Markup</t>
  </si>
  <si>
    <t>Total Financial Cost</t>
  </si>
  <si>
    <t>Provision Short (Excess)</t>
  </si>
  <si>
    <t>Manual Adjustment</t>
  </si>
  <si>
    <t>Actual Opening Markup</t>
  </si>
  <si>
    <t>Total Markup Due</t>
  </si>
  <si>
    <t>Markup Paid</t>
  </si>
  <si>
    <t>Closing Balance</t>
  </si>
  <si>
    <t xml:space="preserve">Total Markup </t>
  </si>
  <si>
    <t xml:space="preserve">Nimir Resins Limited </t>
  </si>
  <si>
    <t>Additional Provision Required</t>
  </si>
  <si>
    <t>Al-Baraka - FATR</t>
  </si>
  <si>
    <t>Opening As Per Books</t>
  </si>
  <si>
    <t>Net Expenses For The Month</t>
  </si>
  <si>
    <t>Payment For The Month</t>
  </si>
  <si>
    <t>Al-Baraka Bank-FATR</t>
  </si>
  <si>
    <t>Payment against Opening(Quarterly Charged)</t>
  </si>
  <si>
    <t>Provision For The Month</t>
  </si>
  <si>
    <t xml:space="preserve">3 Month KIBOR </t>
  </si>
  <si>
    <t>PROVISION AMOUNT:</t>
  </si>
  <si>
    <t xml:space="preserve">TOTAL </t>
  </si>
  <si>
    <t xml:space="preserve">Total RF Cost </t>
  </si>
  <si>
    <t xml:space="preserve">Total FATR Cost </t>
  </si>
  <si>
    <t xml:space="preserve">Total Financial Cost </t>
  </si>
  <si>
    <t>VALUES IN "PKR"</t>
  </si>
  <si>
    <t>BOP</t>
  </si>
  <si>
    <t>SETTLEMENT DURING THE MONTH:</t>
  </si>
  <si>
    <t xml:space="preserve">Financial Summary </t>
  </si>
  <si>
    <t>DESCRIPTION</t>
  </si>
  <si>
    <t xml:space="preserve">ISTISNA/LC LIMIT REMAINING </t>
  </si>
  <si>
    <t>RF-LIMIT</t>
  </si>
  <si>
    <t>RF UTILIZED</t>
  </si>
  <si>
    <t>RF LIMIT AVAILABLE</t>
  </si>
  <si>
    <t>Mark-Up Paid</t>
  </si>
  <si>
    <t>CONTRACT</t>
  </si>
  <si>
    <t>Mark-Up Rates</t>
  </si>
  <si>
    <t>Nimir Industrial Chemicals Limited</t>
  </si>
  <si>
    <t>PRINCIPAL US$:</t>
  </si>
  <si>
    <t>Exchange Rate</t>
  </si>
  <si>
    <t>INTEREST US$:</t>
  </si>
  <si>
    <t>Interest (LIBOR+SPREAD)</t>
  </si>
  <si>
    <t>INTEREST PROVISION</t>
  </si>
  <si>
    <t>Provision For Mark-Up In US$</t>
  </si>
  <si>
    <t>Closing Exchange Rate</t>
  </si>
  <si>
    <t>Provision For Mark-Up In PKR</t>
  </si>
  <si>
    <t>Net Provision Required</t>
  </si>
  <si>
    <t>Mark-Up Payable - Opening Balance</t>
  </si>
  <si>
    <t>&lt; Pls Change This Figure Every Month</t>
  </si>
  <si>
    <t>Mark-Up Payable - Closing Balance</t>
  </si>
  <si>
    <t>EXCHANGE LOSS ON PRINCIPAL</t>
  </si>
  <si>
    <t>Principal Amount In US$</t>
  </si>
  <si>
    <t>&lt; Pls Change The Link To The Last Row Of Dollar Principal Amount</t>
  </si>
  <si>
    <t>Principal At Closing Exch Rate</t>
  </si>
  <si>
    <t>Outstanding Principal - Original Rate</t>
  </si>
  <si>
    <t>&lt; Pls Change The Formula And Link To The Last Row In The Linked Data</t>
  </si>
  <si>
    <t>Total Exchange Loss/Gain</t>
  </si>
  <si>
    <t>Exchange Loss Provision Already Available (Opening)</t>
  </si>
  <si>
    <t>Adjusted  Rate</t>
  </si>
  <si>
    <t>Exchange Loss - Adjustment On Settlement</t>
  </si>
  <si>
    <t>Net Exchange Loss Provisiion Available</t>
  </si>
  <si>
    <t>Net Exchange Loss Provision To Be provided</t>
  </si>
  <si>
    <t>FX Loss (Gain) Debited On Loans Settled</t>
  </si>
  <si>
    <t>Net Exchange Loss For The Month</t>
  </si>
  <si>
    <t>Loans Settled (Rs) - Original Amount</t>
  </si>
  <si>
    <t>Loans Settled (Rs) - Last Month End</t>
  </si>
  <si>
    <t>Actual Amount Paid</t>
  </si>
  <si>
    <t>Exchange Loss (Gain) - Adjustment</t>
  </si>
  <si>
    <t>Exchange Loss (Gain) - Debited</t>
  </si>
  <si>
    <t>Adjustment For Accounts Purpose</t>
  </si>
  <si>
    <t>Exchange Loss - Last Month End</t>
  </si>
  <si>
    <t>Exchange Loss - Provision For The Month</t>
  </si>
  <si>
    <t>Exchange Loss - Current Month End</t>
  </si>
  <si>
    <t>FATR/FE-25/ISTISNA/MUSAWAMAH LIMIT REMAINING</t>
  </si>
  <si>
    <t>PRINCIPAL ADJUSTMNET</t>
  </si>
  <si>
    <t>DATE</t>
  </si>
  <si>
    <t>INFLOW</t>
  </si>
  <si>
    <t>OUTFLOW</t>
  </si>
  <si>
    <t>Balance B/F</t>
  </si>
  <si>
    <t>TOTAL</t>
  </si>
  <si>
    <t>FATR/ISTISNA/MUSAWAMAH LIMIT UTILIZED</t>
  </si>
  <si>
    <t>SIGHT LC LIMIT UTILIZED</t>
  </si>
  <si>
    <t>DA/USANCE LC LIMIT UTILIZED</t>
  </si>
  <si>
    <t>FE-25 LIMIT UTILIZED</t>
  </si>
  <si>
    <t>FATR/ISTISNA/MUSAWAMAH LIMIT</t>
  </si>
  <si>
    <t xml:space="preserve">Monthly/Quarterly Mark-Up Payments </t>
  </si>
  <si>
    <t>Outflow Discreption</t>
  </si>
  <si>
    <t xml:space="preserve">Duty Payments </t>
  </si>
  <si>
    <t>Inflow Discreption</t>
  </si>
  <si>
    <t xml:space="preserve">                           CASH INFLOW &amp; OUTFLOW SUMMARY</t>
  </si>
  <si>
    <t>Inward Clearing (Debtor CHQs + Cash Sales)</t>
  </si>
  <si>
    <t>Tax Payments (Income + Sales)</t>
  </si>
  <si>
    <t xml:space="preserve">Utility Bill Payments </t>
  </si>
  <si>
    <t>Dividend Payment</t>
  </si>
  <si>
    <t>Lease Payments</t>
  </si>
  <si>
    <t>Financial Cost - BOP (RF)</t>
  </si>
  <si>
    <t>Financial Cost - BOP (FATR)</t>
  </si>
  <si>
    <t>Financial Cost - Bank Al-Falah (FE-25)</t>
  </si>
  <si>
    <t>(Salary + Bonous) Payments</t>
  </si>
  <si>
    <t>Rate Of Interest</t>
  </si>
  <si>
    <t>Mark-Up Provision</t>
  </si>
  <si>
    <t>Statement Balance</t>
  </si>
  <si>
    <t>Balance For Valuation</t>
  </si>
  <si>
    <t>LC Charges</t>
  </si>
  <si>
    <t>Misc. Charges/Payments</t>
  </si>
  <si>
    <t>AVAILABLE BALANCE</t>
  </si>
  <si>
    <t>FATR/FE.25 Adjustments (Mark-Up + Principal)</t>
  </si>
  <si>
    <t>USANCE LC O/S</t>
  </si>
  <si>
    <t>USANCE LC VS FATR P/L</t>
  </si>
  <si>
    <t>USANCE LC FOREX G/L</t>
  </si>
  <si>
    <t xml:space="preserve">NET USANCE LC BENEFIT </t>
  </si>
  <si>
    <t>FATR/FE-25 LIMIT</t>
  </si>
  <si>
    <t>FATR O/S</t>
  </si>
  <si>
    <t>FE-25 O/S</t>
  </si>
  <si>
    <t>FE-25 VS FATR P/L</t>
  </si>
  <si>
    <t>FE-25 FOREX G/L</t>
  </si>
  <si>
    <t>NET FE-25 BENEFIT</t>
  </si>
  <si>
    <t xml:space="preserve">RF LIMIT </t>
  </si>
  <si>
    <t>LTL O/S</t>
  </si>
  <si>
    <t xml:space="preserve">FINANCIAL COST </t>
  </si>
  <si>
    <t>STOCKS (R+T)</t>
  </si>
  <si>
    <t>STOCKS (F)</t>
  </si>
  <si>
    <t xml:space="preserve">RECEIVABLES </t>
  </si>
  <si>
    <t xml:space="preserve">KIBOR RATE </t>
  </si>
  <si>
    <t>FOREX RATE</t>
  </si>
  <si>
    <t>INTER BANK OFFER RATE ON 30-04-2020 IN B RECORDER</t>
  </si>
  <si>
    <t>Net Provision For The Month</t>
  </si>
  <si>
    <t>Total Long Term Loan Amount</t>
  </si>
  <si>
    <t>Total Long Term Loan Cost</t>
  </si>
  <si>
    <t>Vendor/(Suppliers) Payments</t>
  </si>
  <si>
    <t>Long Term Loan Principal + Mark-Up Repayment</t>
  </si>
  <si>
    <t>Advance Payments + Conracts + LCs (S+U) Retirement + Guarantee Payments + Margins Held + TT Payments</t>
  </si>
  <si>
    <t>28.02.2021</t>
  </si>
  <si>
    <t xml:space="preserve"> Provision Of Mark-Up For The Month of February-2021</t>
  </si>
  <si>
    <t>Equity Sponsorship</t>
  </si>
  <si>
    <t>Statement</t>
  </si>
  <si>
    <t>Balance for</t>
  </si>
  <si>
    <t xml:space="preserve">Bank </t>
  </si>
  <si>
    <t>Rate of</t>
  </si>
  <si>
    <t>Markup</t>
  </si>
  <si>
    <t>Valuation</t>
  </si>
  <si>
    <t>Rate</t>
  </si>
  <si>
    <t>Interest</t>
  </si>
  <si>
    <t>Provision</t>
  </si>
  <si>
    <t>LC LIMIT</t>
  </si>
  <si>
    <t>SIGHT LC O/S</t>
  </si>
  <si>
    <t>TDR IN HAND</t>
  </si>
  <si>
    <t>MCB</t>
  </si>
  <si>
    <t>1MK+1.00%</t>
  </si>
  <si>
    <t>Financial Cost - MCB Bank (RF)</t>
  </si>
  <si>
    <t>Mark-Up Rate (1MK+1.00%)</t>
  </si>
  <si>
    <t>Misc</t>
  </si>
  <si>
    <t>UTILISED</t>
  </si>
  <si>
    <t>UN-UTILISED</t>
  </si>
  <si>
    <t>MCB Bank - FATR</t>
  </si>
  <si>
    <t>MCB Bank - RF</t>
  </si>
  <si>
    <t>MCB-FATR</t>
  </si>
  <si>
    <t>MCB-RF</t>
  </si>
  <si>
    <t>Financial Cost - MCB Bank (FATR)</t>
  </si>
  <si>
    <t>1 Month KIBOR + 1%</t>
  </si>
  <si>
    <t>OVER THE LIMIT &amp; CURRENT ACCOUNT BALANCE</t>
  </si>
  <si>
    <t xml:space="preserve">NIMIR ENERGY LIMITED </t>
  </si>
  <si>
    <t xml:space="preserve">                                      NIMIR ENERGY LIMITED
</t>
  </si>
  <si>
    <t xml:space="preserve">Alfalah </t>
  </si>
  <si>
    <t xml:space="preserve">Meezan </t>
  </si>
  <si>
    <t>SIGHT LC</t>
  </si>
  <si>
    <t>Total LC R/L</t>
  </si>
  <si>
    <t>Soneri</t>
  </si>
  <si>
    <t xml:space="preserve">FIGURES IN MILLION </t>
  </si>
  <si>
    <t xml:space="preserve">DESCRIPTION </t>
  </si>
  <si>
    <t xml:space="preserve">Nimir Energy Limited </t>
  </si>
  <si>
    <t>SONERI</t>
  </si>
  <si>
    <t>3MK+0.75%</t>
  </si>
  <si>
    <t>HBL</t>
  </si>
  <si>
    <t>Financial Cost - Soneri Bank (RF)</t>
  </si>
  <si>
    <t>1MK+0.50%</t>
  </si>
  <si>
    <t>6MK+0.50%</t>
  </si>
  <si>
    <t>1 Month KIBOR + 0.5%</t>
  </si>
  <si>
    <t>SONERI Bank - RF</t>
  </si>
  <si>
    <t>SONERI Bank - FATR</t>
  </si>
  <si>
    <t>HBL Bank - RF</t>
  </si>
  <si>
    <t>HBL Bank - FATR</t>
  </si>
  <si>
    <t>SONERI - RF</t>
  </si>
  <si>
    <t>SONERI - FATR</t>
  </si>
  <si>
    <t>HBL - RF</t>
  </si>
  <si>
    <t>HBL - FATR</t>
  </si>
  <si>
    <t>Financial Cost - HBL (FATR)</t>
  </si>
  <si>
    <t>Financial Cost - HBL (RF)</t>
  </si>
  <si>
    <t>Financial Cost - SONERI (FATR)</t>
  </si>
  <si>
    <t>RF</t>
  </si>
  <si>
    <t>Mark-Up Rate (MK+0.50%)</t>
  </si>
  <si>
    <t>3 Month KIBOR + 0.75%</t>
  </si>
  <si>
    <t>Mark-Up Rate (MK+0.75%)</t>
  </si>
  <si>
    <t>CD</t>
  </si>
  <si>
    <t>SHEET FOR EX LOSS / FE-25 / FATR</t>
  </si>
  <si>
    <t>Dollar Rate</t>
  </si>
  <si>
    <t>CNY</t>
  </si>
  <si>
    <t>DATED</t>
  </si>
  <si>
    <t>BANK</t>
  </si>
  <si>
    <t>B/L DATE</t>
  </si>
  <si>
    <t xml:space="preserve">LC USANCE </t>
  </si>
  <si>
    <t xml:space="preserve">MATURITY </t>
  </si>
  <si>
    <t>CURRENCY</t>
  </si>
  <si>
    <t>PKR LOAN</t>
  </si>
  <si>
    <t>FORWARD COVER</t>
  </si>
  <si>
    <t>DAYS</t>
  </si>
  <si>
    <t>FATR M.UP</t>
  </si>
  <si>
    <t>TOTAL FATR</t>
  </si>
  <si>
    <t>NET GAIN</t>
  </si>
  <si>
    <t>RATE DIFF.</t>
  </si>
  <si>
    <t>EXCHANGE</t>
  </si>
  <si>
    <t>NET PROFIT AFTER ALL</t>
  </si>
  <si>
    <t>blank</t>
  </si>
  <si>
    <t xml:space="preserve">DAYS </t>
  </si>
  <si>
    <t>USD /CNY</t>
  </si>
  <si>
    <t>BOOKING RATE</t>
  </si>
  <si>
    <t>PER DAY</t>
  </si>
  <si>
    <t>M.UP</t>
  </si>
  <si>
    <t>IN M-UP</t>
  </si>
  <si>
    <t>LOSS</t>
  </si>
  <si>
    <t>LOSS/GAIN</t>
  </si>
  <si>
    <t>ADJUSTMENT</t>
  </si>
  <si>
    <t>KIBOR</t>
  </si>
  <si>
    <t>1MK</t>
  </si>
  <si>
    <t>3MK</t>
  </si>
  <si>
    <t>6MK</t>
  </si>
  <si>
    <t>retier</t>
  </si>
  <si>
    <t>FILFTR00141425PK
C.D 04.03.2025 M.D. 02.07.2025</t>
  </si>
  <si>
    <t>Albaraka</t>
  </si>
  <si>
    <t>Retire</t>
  </si>
  <si>
    <t>Open</t>
  </si>
  <si>
    <t>3 Month KIBOR + 1.5%</t>
  </si>
  <si>
    <t>0010009129</t>
  </si>
  <si>
    <t>Financial Cost - PICL (LT)</t>
  </si>
  <si>
    <t>NBP (ISLAMIC)</t>
  </si>
  <si>
    <t>PICL - LT</t>
  </si>
  <si>
    <t>3MK+0.50%</t>
  </si>
  <si>
    <t>28.02.2025</t>
  </si>
  <si>
    <t xml:space="preserve"> Provision Of Mark-Up For The Month of February - 2026</t>
  </si>
  <si>
    <t>ASKARI</t>
  </si>
  <si>
    <t>LD2605819412
C.D 27.02.2026 M.D. 26.08.2025</t>
  </si>
  <si>
    <t>MK+0.75%</t>
  </si>
  <si>
    <t>3MK+0.65%</t>
  </si>
  <si>
    <t>BIPL</t>
  </si>
  <si>
    <t>6MK+1.25%</t>
  </si>
  <si>
    <t>6MK+0.15%</t>
  </si>
  <si>
    <t>Askari</t>
  </si>
  <si>
    <t>FAYSAL (CB)</t>
  </si>
  <si>
    <t>Financial Cost - ASKARI (FATR)</t>
  </si>
  <si>
    <t>2120LCS2600884PK
C.D 02.04.2026 M.D. 29.09.2026</t>
  </si>
  <si>
    <t>2120LCS2600884PK
C.D 10.04.2026 M.D. 07.10.2026</t>
  </si>
  <si>
    <t>2120LCS2600884PK
C.D 21.04.2026 M.D. 18.10.2026</t>
  </si>
  <si>
    <t>Bank Rate (0.50%)</t>
  </si>
  <si>
    <t>BOP - RF</t>
  </si>
  <si>
    <t>BOP - FATR</t>
  </si>
  <si>
    <t>ASKARI - FATR</t>
  </si>
  <si>
    <t>payment made on 15/05/2026</t>
  </si>
  <si>
    <t>11.86/1MK</t>
  </si>
  <si>
    <t>12.07/3MK</t>
  </si>
  <si>
    <t>12.34/6MK</t>
  </si>
  <si>
    <t>Financial Cost - NBP (Musawammah)</t>
  </si>
  <si>
    <t>C.D 04.05.2026    M.D 01.09.2026</t>
  </si>
  <si>
    <t>NBP-Musawammah</t>
  </si>
  <si>
    <t>Mark-Up Rate (MK+0.65%)</t>
  </si>
  <si>
    <t>1398LCS260689
C.D 03.06.2026 
M.D. 01.10.2026</t>
  </si>
  <si>
    <t>1398LCS260682
C.D 03.06.2026 
M.D. 01.10.2026</t>
  </si>
  <si>
    <t xml:space="preserve">                                           June - 26</t>
  </si>
  <si>
    <t>002LCFS261320505 (C.D 17.06.2026, M.D 15.10.2026)</t>
  </si>
  <si>
    <t>002LCFS261320507 (C.D 17.06.2026, M.D 15.10.2026)</t>
  </si>
  <si>
    <t>Mark-Up Rate (3MK+0.50%)</t>
  </si>
  <si>
    <t>2120LCS2603588PK
C.D 17.06.2026 M.D. 14.12.2026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</si>
</sst>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General_);[Red]\-General_)"/>
    <numFmt numFmtId="173" formatCode="mm\/dd\/yy_)"/>
    <numFmt numFmtId="174" formatCode="dd/mmm/yy_)"/>
    <numFmt numFmtId="175" formatCode="[$-409]d\-mmm\-yy;@"/>
    <numFmt numFmtId="177" formatCode="_(* #,##0.0_);_(* \(#,##0.0\);_(* &quot;-&quot;?_);_(@_)"/>
    <numFmt numFmtId="182" formatCode="_ [$¥-804]* #,##0.00_ ;_ [$¥-804]* \-#,##0.00_ ;_ [$¥-804]* &quot;-&quot;??_ ;_ @_ "/>
    <numFmt numFmtId="184" formatCode="_(* #,##0_);_(* \(#,##0\);_(* &quot;-&quot;??_);_(@_)"/>
    <numFmt numFmtId="185" formatCode="_(* #,##0.000000_);_(* \(#,##0.000000\);_(* &quot;-&quot;??????_);_(@_)"/>
    <numFmt numFmtId="186" formatCode="0.000000%"/>
    <numFmt numFmtId="188" formatCode="[$-409]d\-mmm\-yyyy;@"/>
    <numFmt numFmtId="190" formatCode="_([$PKR]\ * #,##0.00_);_([$PKR]\ * \(#,##0.00\);_([$PKR]\ * &quot;-&quot;??_);_(@_)"/>
    <numFmt numFmtId="192" formatCode="[$-F800]dddd\,\ mmmm\ dd\,\ yyyy"/>
    <numFmt numFmtId="200" formatCode="#,##0.0000000000"/>
  </numFmts>
  <fonts count="69" x14ac:knownFonts="1">
    <font>
      <sz val="12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.8"/>
      <color indexed="12"/>
      <name val="Arial"/>
      <family val="2"/>
    </font>
    <font>
      <sz val="12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color indexed="10"/>
      <name val="Calibri"/>
      <family val="2"/>
    </font>
    <font>
      <sz val="8"/>
      <name val="Arial"/>
      <family val="2"/>
    </font>
    <font>
      <b/>
      <sz val="10"/>
      <color indexed="30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0"/>
      <name val="Calibri"/>
      <family val="2"/>
    </font>
    <font>
      <b/>
      <sz val="14"/>
      <color indexed="30"/>
      <name val="Calibri"/>
      <family val="2"/>
    </font>
    <font>
      <b/>
      <sz val="20"/>
      <name val="Calibri"/>
      <family val="2"/>
    </font>
    <font>
      <b/>
      <sz val="16"/>
      <name val="Calibri"/>
      <family val="2"/>
    </font>
    <font>
      <sz val="10"/>
      <color indexed="81"/>
      <name val="Calibri"/>
      <family val="2"/>
    </font>
    <font>
      <sz val="9"/>
      <color indexed="81"/>
      <name val="Tahoma"/>
      <family val="2"/>
    </font>
    <font>
      <b/>
      <sz val="12"/>
      <name val="Calibri"/>
      <family val="2"/>
    </font>
    <font>
      <b/>
      <sz val="18"/>
      <name val="Calibri"/>
      <family val="2"/>
    </font>
    <font>
      <b/>
      <sz val="9"/>
      <name val="Calibri"/>
      <family val="2"/>
    </font>
    <font>
      <b/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Segoe UI"/>
      <family val="2"/>
    </font>
    <font>
      <b/>
      <sz val="8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8"/>
      <name val="Arial"/>
      <family val="2"/>
    </font>
    <font>
      <sz val="8"/>
      <name val="Arial"/>
      <family val="2"/>
    </font>
    <font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</font>
    <font>
      <b/>
      <sz val="13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</font>
    <font>
      <sz val="12"/>
      <color rgb="FFFF0000"/>
      <name val="Calibri"/>
      <family val="2"/>
    </font>
    <font>
      <b/>
      <sz val="10"/>
      <color rgb="FFFF0000"/>
      <name val="Calibri"/>
      <family val="2"/>
    </font>
    <font>
      <sz val="8"/>
      <color rgb="FF222222"/>
      <name val="Century Gothic"/>
      <family val="2"/>
    </font>
    <font>
      <sz val="10"/>
      <color rgb="FF22222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rgb="FFFF0000"/>
      <name val="Calibri"/>
      <family val="2"/>
    </font>
    <font>
      <b/>
      <u/>
      <sz val="9"/>
      <color rgb="FFFF0000"/>
      <name val="Arial"/>
      <family val="2"/>
    </font>
    <font>
      <b/>
      <u/>
      <sz val="8"/>
      <color theme="3"/>
      <name val="Arial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C0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</font>
    <font>
      <b/>
      <sz val="10"/>
      <name val="Calibri"/>
      <family val="2"/>
      <scheme val="minor"/>
    </font>
    <font>
      <b/>
      <sz val="10"/>
      <color indexed="3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rgb="FFFFFF00"/>
        <bgColor indexed="22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2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8"/>
      </left>
      <right style="thin">
        <color theme="1"/>
      </right>
      <top style="thin">
        <color indexed="8"/>
      </top>
      <bottom style="thin">
        <color indexed="8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rgb="FFFF0000"/>
      </right>
      <top style="thin">
        <color indexed="8"/>
      </top>
      <bottom style="thin">
        <color indexed="8"/>
      </bottom>
      <diagonal/>
    </border>
    <border>
      <left style="thin">
        <color rgb="FFFF0000"/>
      </left>
      <right style="thin">
        <color rgb="FFFF0000"/>
      </right>
      <top style="thin">
        <color theme="1"/>
      </top>
      <bottom style="thin">
        <color theme="1"/>
      </bottom>
      <diagonal/>
    </border>
    <border>
      <left/>
      <right style="thin">
        <color rgb="FFFF0000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 style="thin">
        <color rgb="FFFF0000"/>
      </right>
      <top style="thin">
        <color theme="1"/>
      </top>
      <bottom style="thin">
        <color rgb="FFFF000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rgb="FFFF0000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theme="1"/>
      </bottom>
      <diagonal/>
    </border>
  </borders>
  <cellStyleXfs count="16">
    <xf numFmtId="0" fontId="0" fillId="0" borderId="0"/>
    <xf numFmtId="171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36" fillId="0" borderId="0"/>
    <xf numFmtId="0" fontId="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1">
    <xf numFmtId="0" fontId="0" fillId="0" borderId="0" xfId="0"/>
    <xf numFmtId="171" fontId="7" fillId="2" borderId="0" xfId="1" applyFont="1" applyFill="1"/>
    <xf numFmtId="0" fontId="7" fillId="2" borderId="0" xfId="0" applyFont="1" applyFill="1"/>
    <xf numFmtId="174" fontId="7" fillId="2" borderId="0" xfId="0" applyNumberFormat="1" applyFont="1" applyFill="1" applyAlignment="1" applyProtection="1">
      <alignment horizontal="center"/>
    </xf>
    <xf numFmtId="171" fontId="7" fillId="2" borderId="1" xfId="1" applyFont="1" applyFill="1" applyBorder="1"/>
    <xf numFmtId="175" fontId="7" fillId="2" borderId="2" xfId="0" applyNumberFormat="1" applyFont="1" applyFill="1" applyBorder="1" applyAlignment="1" applyProtection="1">
      <alignment horizontal="center"/>
    </xf>
    <xf numFmtId="0" fontId="8" fillId="2" borderId="0" xfId="0" applyFont="1" applyFill="1"/>
    <xf numFmtId="0" fontId="8" fillId="2" borderId="3" xfId="0" applyFont="1" applyFill="1" applyBorder="1"/>
    <xf numFmtId="0" fontId="6" fillId="3" borderId="4" xfId="0" applyFont="1" applyFill="1" applyBorder="1"/>
    <xf numFmtId="171" fontId="7" fillId="2" borderId="5" xfId="1" applyFont="1" applyFill="1" applyBorder="1"/>
    <xf numFmtId="171" fontId="7" fillId="2" borderId="1" xfId="1" applyFont="1" applyFill="1" applyBorder="1" applyProtection="1"/>
    <xf numFmtId="10" fontId="7" fillId="2" borderId="6" xfId="14" applyNumberFormat="1" applyFont="1" applyFill="1" applyBorder="1"/>
    <xf numFmtId="10" fontId="7" fillId="2" borderId="7" xfId="14" applyNumberFormat="1" applyFont="1" applyFill="1" applyBorder="1"/>
    <xf numFmtId="10" fontId="7" fillId="2" borderId="8" xfId="14" applyNumberFormat="1" applyFont="1" applyFill="1" applyBorder="1" applyAlignment="1" applyProtection="1">
      <alignment horizontal="center"/>
    </xf>
    <xf numFmtId="39" fontId="7" fillId="2" borderId="9" xfId="0" applyNumberFormat="1" applyFont="1" applyFill="1" applyBorder="1" applyProtection="1"/>
    <xf numFmtId="39" fontId="6" fillId="4" borderId="2" xfId="0" applyNumberFormat="1" applyFont="1" applyFill="1" applyBorder="1" applyProtection="1"/>
    <xf numFmtId="0" fontId="7" fillId="3" borderId="10" xfId="0" applyFont="1" applyFill="1" applyBorder="1"/>
    <xf numFmtId="0" fontId="7" fillId="2" borderId="11" xfId="0" applyFont="1" applyFill="1" applyBorder="1"/>
    <xf numFmtId="171" fontId="7" fillId="2" borderId="5" xfId="0" applyNumberFormat="1" applyFont="1" applyFill="1" applyBorder="1"/>
    <xf numFmtId="0" fontId="13" fillId="2" borderId="0" xfId="0" applyFont="1" applyFill="1"/>
    <xf numFmtId="172" fontId="12" fillId="2" borderId="0" xfId="0" applyNumberFormat="1" applyFont="1" applyFill="1" applyProtection="1"/>
    <xf numFmtId="172" fontId="14" fillId="2" borderId="0" xfId="0" applyNumberFormat="1" applyFont="1" applyFill="1" applyAlignment="1" applyProtection="1">
      <alignment horizontal="center"/>
    </xf>
    <xf numFmtId="172" fontId="14" fillId="2" borderId="0" xfId="0" applyNumberFormat="1" applyFont="1" applyFill="1" applyProtection="1"/>
    <xf numFmtId="172" fontId="12" fillId="0" borderId="0" xfId="0" applyNumberFormat="1" applyFont="1" applyProtection="1"/>
    <xf numFmtId="172" fontId="14" fillId="5" borderId="12" xfId="0" applyNumberFormat="1" applyFont="1" applyFill="1" applyBorder="1" applyAlignment="1" applyProtection="1">
      <alignment horizontal="center"/>
    </xf>
    <xf numFmtId="172" fontId="12" fillId="2" borderId="13" xfId="0" applyNumberFormat="1" applyFont="1" applyFill="1" applyBorder="1" applyProtection="1"/>
    <xf numFmtId="172" fontId="12" fillId="2" borderId="14" xfId="0" applyNumberFormat="1" applyFont="1" applyFill="1" applyBorder="1" applyProtection="1"/>
    <xf numFmtId="172" fontId="14" fillId="2" borderId="14" xfId="0" applyNumberFormat="1" applyFont="1" applyFill="1" applyBorder="1" applyProtection="1"/>
    <xf numFmtId="172" fontId="12" fillId="5" borderId="2" xfId="0" applyNumberFormat="1" applyFont="1" applyFill="1" applyBorder="1" applyAlignment="1" applyProtection="1">
      <alignment horizontal="center"/>
    </xf>
    <xf numFmtId="172" fontId="12" fillId="2" borderId="15" xfId="0" applyNumberFormat="1" applyFont="1" applyFill="1" applyBorder="1" applyProtection="1"/>
    <xf numFmtId="173" fontId="12" fillId="5" borderId="2" xfId="0" applyNumberFormat="1" applyFont="1" applyFill="1" applyBorder="1" applyAlignment="1" applyProtection="1">
      <alignment horizontal="center"/>
    </xf>
    <xf numFmtId="172" fontId="14" fillId="2" borderId="15" xfId="0" applyNumberFormat="1" applyFont="1" applyFill="1" applyBorder="1" applyAlignment="1" applyProtection="1">
      <alignment horizontal="centerContinuous"/>
    </xf>
    <xf numFmtId="172" fontId="14" fillId="2" borderId="0" xfId="0" applyNumberFormat="1" applyFont="1" applyFill="1" applyAlignment="1" applyProtection="1">
      <alignment horizontal="centerContinuous"/>
    </xf>
    <xf numFmtId="172" fontId="12" fillId="2" borderId="0" xfId="0" applyNumberFormat="1" applyFont="1" applyFill="1" applyAlignment="1" applyProtection="1">
      <alignment horizontal="centerContinuous"/>
    </xf>
    <xf numFmtId="172" fontId="12" fillId="2" borderId="16" xfId="0" applyNumberFormat="1" applyFont="1" applyFill="1" applyBorder="1" applyProtection="1"/>
    <xf numFmtId="172" fontId="14" fillId="5" borderId="17" xfId="0" applyNumberFormat="1" applyFont="1" applyFill="1" applyBorder="1" applyAlignment="1" applyProtection="1">
      <alignment horizontal="center"/>
    </xf>
    <xf numFmtId="172" fontId="14" fillId="5" borderId="13" xfId="0" applyNumberFormat="1" applyFont="1" applyFill="1" applyBorder="1" applyAlignment="1" applyProtection="1">
      <alignment horizontal="centerContinuous"/>
    </xf>
    <xf numFmtId="172" fontId="14" fillId="5" borderId="18" xfId="0" applyNumberFormat="1" applyFont="1" applyFill="1" applyBorder="1" applyAlignment="1" applyProtection="1">
      <alignment horizontal="centerContinuous"/>
    </xf>
    <xf numFmtId="172" fontId="14" fillId="5" borderId="17" xfId="0" applyNumberFormat="1" applyFont="1" applyFill="1" applyBorder="1" applyAlignment="1" applyProtection="1">
      <alignment horizontal="centerContinuous"/>
    </xf>
    <xf numFmtId="172" fontId="14" fillId="5" borderId="1" xfId="0" applyNumberFormat="1" applyFont="1" applyFill="1" applyBorder="1" applyAlignment="1" applyProtection="1">
      <alignment horizontal="center"/>
    </xf>
    <xf numFmtId="172" fontId="14" fillId="5" borderId="19" xfId="0" applyNumberFormat="1" applyFont="1" applyFill="1" applyBorder="1" applyAlignment="1" applyProtection="1">
      <alignment horizontal="center"/>
    </xf>
    <xf numFmtId="172" fontId="14" fillId="5" borderId="7" xfId="0" applyNumberFormat="1" applyFont="1" applyFill="1" applyBorder="1" applyAlignment="1" applyProtection="1">
      <alignment horizontal="center"/>
    </xf>
    <xf numFmtId="172" fontId="14" fillId="5" borderId="2" xfId="0" applyNumberFormat="1" applyFont="1" applyFill="1" applyBorder="1" applyAlignment="1" applyProtection="1">
      <alignment horizontal="center"/>
    </xf>
    <xf numFmtId="172" fontId="14" fillId="5" borderId="1" xfId="0" applyNumberFormat="1" applyFont="1" applyFill="1" applyBorder="1" applyAlignment="1" applyProtection="1">
      <alignment horizontal="centerContinuous"/>
    </xf>
    <xf numFmtId="172" fontId="12" fillId="2" borderId="2" xfId="0" applyNumberFormat="1" applyFont="1" applyFill="1" applyBorder="1" applyAlignment="1" applyProtection="1">
      <alignment horizontal="center"/>
    </xf>
    <xf numFmtId="39" fontId="12" fillId="2" borderId="2" xfId="0" applyNumberFormat="1" applyFont="1" applyFill="1" applyBorder="1" applyProtection="1"/>
    <xf numFmtId="172" fontId="12" fillId="2" borderId="20" xfId="0" applyNumberFormat="1" applyFont="1" applyFill="1" applyBorder="1" applyProtection="1"/>
    <xf numFmtId="172" fontId="12" fillId="0" borderId="21" xfId="0" applyNumberFormat="1" applyFont="1" applyBorder="1" applyProtection="1"/>
    <xf numFmtId="39" fontId="12" fillId="5" borderId="2" xfId="0" applyNumberFormat="1" applyFont="1" applyFill="1" applyBorder="1" applyProtection="1"/>
    <xf numFmtId="172" fontId="12" fillId="0" borderId="2" xfId="0" applyNumberFormat="1" applyFont="1" applyBorder="1" applyAlignment="1" applyProtection="1">
      <alignment horizontal="center"/>
    </xf>
    <xf numFmtId="39" fontId="12" fillId="0" borderId="2" xfId="0" applyNumberFormat="1" applyFont="1" applyBorder="1" applyProtection="1"/>
    <xf numFmtId="39" fontId="12" fillId="0" borderId="0" xfId="0" applyNumberFormat="1" applyFont="1" applyProtection="1"/>
    <xf numFmtId="0" fontId="12" fillId="0" borderId="0" xfId="0" applyFont="1"/>
    <xf numFmtId="39" fontId="11" fillId="5" borderId="2" xfId="0" applyNumberFormat="1" applyFont="1" applyFill="1" applyBorder="1" applyAlignment="1" applyProtection="1">
      <alignment horizontal="center"/>
    </xf>
    <xf numFmtId="17" fontId="15" fillId="2" borderId="22" xfId="0" applyNumberFormat="1" applyFont="1" applyFill="1" applyBorder="1" applyAlignment="1">
      <alignment horizontal="right"/>
    </xf>
    <xf numFmtId="17" fontId="8" fillId="2" borderId="3" xfId="0" applyNumberFormat="1" applyFont="1" applyFill="1" applyBorder="1" applyAlignment="1">
      <alignment horizontal="right"/>
    </xf>
    <xf numFmtId="0" fontId="7" fillId="2" borderId="4" xfId="0" applyFont="1" applyFill="1" applyBorder="1"/>
    <xf numFmtId="172" fontId="7" fillId="2" borderId="2" xfId="0" applyNumberFormat="1" applyFont="1" applyFill="1" applyBorder="1" applyAlignment="1" applyProtection="1">
      <alignment horizontal="center"/>
    </xf>
    <xf numFmtId="172" fontId="7" fillId="0" borderId="2" xfId="0" applyNumberFormat="1" applyFont="1" applyBorder="1" applyAlignment="1" applyProtection="1">
      <alignment horizontal="center"/>
    </xf>
    <xf numFmtId="0" fontId="7" fillId="0" borderId="0" xfId="0" applyFont="1" applyFill="1"/>
    <xf numFmtId="0" fontId="12" fillId="0" borderId="0" xfId="0" applyFont="1" applyFill="1"/>
    <xf numFmtId="172" fontId="14" fillId="5" borderId="23" xfId="0" applyNumberFormat="1" applyFont="1" applyFill="1" applyBorder="1" applyAlignment="1" applyProtection="1">
      <alignment horizontal="center"/>
    </xf>
    <xf numFmtId="172" fontId="38" fillId="0" borderId="0" xfId="0" applyNumberFormat="1" applyFont="1" applyFill="1" applyProtection="1"/>
    <xf numFmtId="172" fontId="39" fillId="0" borderId="0" xfId="0" applyNumberFormat="1" applyFont="1" applyFill="1" applyProtection="1"/>
    <xf numFmtId="172" fontId="12" fillId="0" borderId="0" xfId="0" applyNumberFormat="1" applyFont="1" applyFill="1" applyProtection="1"/>
    <xf numFmtId="172" fontId="8" fillId="0" borderId="0" xfId="0" applyNumberFormat="1" applyFont="1" applyProtection="1"/>
    <xf numFmtId="171" fontId="13" fillId="2" borderId="0" xfId="0" applyNumberFormat="1" applyFont="1" applyFill="1"/>
    <xf numFmtId="3" fontId="13" fillId="2" borderId="0" xfId="0" applyNumberFormat="1" applyFont="1" applyFill="1"/>
    <xf numFmtId="171" fontId="7" fillId="2" borderId="1" xfId="2" applyFont="1" applyFill="1" applyBorder="1"/>
    <xf numFmtId="171" fontId="7" fillId="2" borderId="0" xfId="0" applyNumberFormat="1" applyFont="1" applyFill="1"/>
    <xf numFmtId="171" fontId="7" fillId="2" borderId="7" xfId="1" applyFont="1" applyFill="1" applyBorder="1"/>
    <xf numFmtId="171" fontId="7" fillId="2" borderId="24" xfId="1" applyFont="1" applyFill="1" applyBorder="1"/>
    <xf numFmtId="171" fontId="7" fillId="2" borderId="2" xfId="2" applyFont="1" applyFill="1" applyBorder="1" applyProtection="1"/>
    <xf numFmtId="171" fontId="7" fillId="2" borderId="5" xfId="2" applyFont="1" applyFill="1" applyBorder="1"/>
    <xf numFmtId="171" fontId="6" fillId="6" borderId="5" xfId="2" applyFont="1" applyFill="1" applyBorder="1"/>
    <xf numFmtId="172" fontId="7" fillId="8" borderId="2" xfId="0" applyNumberFormat="1" applyFont="1" applyFill="1" applyBorder="1" applyProtection="1"/>
    <xf numFmtId="171" fontId="12" fillId="8" borderId="2" xfId="1" applyFont="1" applyFill="1" applyBorder="1" applyProtection="1"/>
    <xf numFmtId="172" fontId="12" fillId="8" borderId="2" xfId="0" applyNumberFormat="1" applyFont="1" applyFill="1" applyBorder="1" applyProtection="1"/>
    <xf numFmtId="171" fontId="14" fillId="9" borderId="2" xfId="1" applyFont="1" applyFill="1" applyBorder="1" applyProtection="1"/>
    <xf numFmtId="172" fontId="40" fillId="8" borderId="2" xfId="0" applyNumberFormat="1" applyFont="1" applyFill="1" applyBorder="1" applyProtection="1"/>
    <xf numFmtId="171" fontId="40" fillId="8" borderId="2" xfId="1" applyFont="1" applyFill="1" applyBorder="1" applyProtection="1"/>
    <xf numFmtId="172" fontId="6" fillId="9" borderId="2" xfId="0" applyNumberFormat="1" applyFont="1" applyFill="1" applyBorder="1" applyAlignment="1" applyProtection="1">
      <alignment horizontal="left"/>
    </xf>
    <xf numFmtId="171" fontId="6" fillId="8" borderId="2" xfId="1" applyFont="1" applyFill="1" applyBorder="1" applyProtection="1"/>
    <xf numFmtId="172" fontId="14" fillId="10" borderId="2" xfId="0" applyNumberFormat="1" applyFont="1" applyFill="1" applyBorder="1" applyAlignment="1" applyProtection="1">
      <alignment horizontal="center" vertical="center"/>
    </xf>
    <xf numFmtId="171" fontId="14" fillId="10" borderId="2" xfId="1" applyFont="1" applyFill="1" applyBorder="1" applyAlignment="1" applyProtection="1">
      <alignment horizontal="center" vertical="center" wrapText="1"/>
    </xf>
    <xf numFmtId="4" fontId="13" fillId="0" borderId="0" xfId="0" applyNumberFormat="1" applyFont="1" applyFill="1"/>
    <xf numFmtId="0" fontId="13" fillId="0" borderId="0" xfId="0" applyFont="1" applyFill="1"/>
    <xf numFmtId="39" fontId="7" fillId="5" borderId="2" xfId="0" applyNumberFormat="1" applyFont="1" applyFill="1" applyBorder="1" applyProtection="1"/>
    <xf numFmtId="172" fontId="8" fillId="10" borderId="2" xfId="0" applyNumberFormat="1" applyFont="1" applyFill="1" applyBorder="1" applyAlignment="1" applyProtection="1">
      <alignment horizontal="center" vertical="center"/>
    </xf>
    <xf numFmtId="171" fontId="8" fillId="10" borderId="2" xfId="1" applyFont="1" applyFill="1" applyBorder="1" applyAlignment="1" applyProtection="1">
      <alignment horizontal="center" vertical="center" wrapText="1"/>
    </xf>
    <xf numFmtId="171" fontId="6" fillId="9" borderId="2" xfId="1" applyFont="1" applyFill="1" applyBorder="1" applyProtection="1"/>
    <xf numFmtId="0" fontId="8" fillId="2" borderId="3" xfId="0" applyFont="1" applyFill="1" applyBorder="1" applyAlignment="1">
      <alignment horizontal="left"/>
    </xf>
    <xf numFmtId="171" fontId="0" fillId="0" borderId="0" xfId="1" applyFont="1"/>
    <xf numFmtId="171" fontId="7" fillId="2" borderId="25" xfId="1" applyFont="1" applyFill="1" applyBorder="1" applyAlignment="1"/>
    <xf numFmtId="0" fontId="6" fillId="4" borderId="26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171" fontId="7" fillId="0" borderId="1" xfId="1" applyFont="1" applyFill="1" applyBorder="1"/>
    <xf numFmtId="171" fontId="0" fillId="0" borderId="0" xfId="0" applyNumberFormat="1"/>
    <xf numFmtId="171" fontId="7" fillId="0" borderId="1" xfId="2" applyFont="1" applyFill="1" applyBorder="1"/>
    <xf numFmtId="4" fontId="41" fillId="0" borderId="27" xfId="0" applyNumberFormat="1" applyFont="1" applyBorder="1"/>
    <xf numFmtId="171" fontId="6" fillId="4" borderId="23" xfId="1" applyFont="1" applyFill="1" applyBorder="1" applyAlignment="1">
      <alignment horizontal="centerContinuous"/>
    </xf>
    <xf numFmtId="171" fontId="6" fillId="4" borderId="21" xfId="1" applyFont="1" applyFill="1" applyBorder="1" applyAlignment="1">
      <alignment horizontal="centerContinuous"/>
    </xf>
    <xf numFmtId="171" fontId="6" fillId="4" borderId="1" xfId="1" applyFont="1" applyFill="1" applyBorder="1" applyAlignment="1">
      <alignment horizontal="center"/>
    </xf>
    <xf numFmtId="0" fontId="7" fillId="2" borderId="0" xfId="0" applyFont="1" applyFill="1" applyAlignment="1">
      <alignment vertical="center" wrapText="1"/>
    </xf>
    <xf numFmtId="14" fontId="7" fillId="2" borderId="0" xfId="0" applyNumberFormat="1" applyFont="1" applyFill="1"/>
    <xf numFmtId="14" fontId="7" fillId="2" borderId="0" xfId="0" applyNumberFormat="1" applyFont="1" applyFill="1" applyAlignment="1">
      <alignment vertical="center" wrapText="1"/>
    </xf>
    <xf numFmtId="0" fontId="7" fillId="2" borderId="0" xfId="0" applyNumberFormat="1" applyFont="1" applyFill="1"/>
    <xf numFmtId="171" fontId="42" fillId="0" borderId="27" xfId="1" applyFont="1" applyBorder="1"/>
    <xf numFmtId="0" fontId="21" fillId="2" borderId="0" xfId="0" applyFont="1" applyFill="1"/>
    <xf numFmtId="171" fontId="20" fillId="2" borderId="0" xfId="1" applyFont="1" applyFill="1"/>
    <xf numFmtId="0" fontId="20" fillId="2" borderId="0" xfId="0" applyFont="1" applyFill="1"/>
    <xf numFmtId="0" fontId="20" fillId="11" borderId="0" xfId="0" applyFont="1" applyFill="1"/>
    <xf numFmtId="0" fontId="13" fillId="11" borderId="0" xfId="0" applyFont="1" applyFill="1"/>
    <xf numFmtId="171" fontId="20" fillId="11" borderId="28" xfId="0" applyNumberFormat="1" applyFont="1" applyFill="1" applyBorder="1"/>
    <xf numFmtId="0" fontId="20" fillId="12" borderId="0" xfId="0" applyFont="1" applyFill="1"/>
    <xf numFmtId="0" fontId="13" fillId="12" borderId="0" xfId="0" applyFont="1" applyFill="1"/>
    <xf numFmtId="171" fontId="20" fillId="12" borderId="0" xfId="0" applyNumberFormat="1" applyFont="1" applyFill="1"/>
    <xf numFmtId="0" fontId="7" fillId="2" borderId="0" xfId="0" applyFont="1" applyFill="1" applyAlignment="1">
      <alignment vertical="center"/>
    </xf>
    <xf numFmtId="171" fontId="7" fillId="0" borderId="2" xfId="1" applyFont="1" applyFill="1" applyBorder="1" applyProtection="1"/>
    <xf numFmtId="171" fontId="7" fillId="0" borderId="5" xfId="2" applyFont="1" applyFill="1" applyBorder="1"/>
    <xf numFmtId="39" fontId="14" fillId="5" borderId="29" xfId="0" applyNumberFormat="1" applyFont="1" applyFill="1" applyBorder="1" applyAlignment="1" applyProtection="1">
      <alignment vertical="center"/>
    </xf>
    <xf numFmtId="171" fontId="6" fillId="2" borderId="5" xfId="0" applyNumberFormat="1" applyFont="1" applyFill="1" applyBorder="1"/>
    <xf numFmtId="177" fontId="6" fillId="9" borderId="2" xfId="1" applyNumberFormat="1" applyFont="1" applyFill="1" applyBorder="1" applyProtection="1"/>
    <xf numFmtId="177" fontId="14" fillId="9" borderId="2" xfId="1" applyNumberFormat="1" applyFont="1" applyFill="1" applyBorder="1" applyProtection="1"/>
    <xf numFmtId="0" fontId="0" fillId="0" borderId="0" xfId="0" applyAlignment="1">
      <alignment horizontal="center"/>
    </xf>
    <xf numFmtId="0" fontId="43" fillId="0" borderId="29" xfId="0" applyFont="1" applyBorder="1" applyAlignment="1">
      <alignment horizontal="center"/>
    </xf>
    <xf numFmtId="0" fontId="44" fillId="0" borderId="30" xfId="0" applyFont="1" applyBorder="1"/>
    <xf numFmtId="0" fontId="44" fillId="0" borderId="31" xfId="0" applyFont="1" applyBorder="1"/>
    <xf numFmtId="171" fontId="7" fillId="0" borderId="5" xfId="0" applyNumberFormat="1" applyFont="1" applyFill="1" applyBorder="1"/>
    <xf numFmtId="0" fontId="44" fillId="0" borderId="32" xfId="0" applyFont="1" applyBorder="1"/>
    <xf numFmtId="171" fontId="7" fillId="0" borderId="0" xfId="0" applyNumberFormat="1" applyFont="1" applyFill="1"/>
    <xf numFmtId="171" fontId="7" fillId="0" borderId="0" xfId="1" applyFont="1" applyFill="1"/>
    <xf numFmtId="0" fontId="43" fillId="12" borderId="29" xfId="0" applyFont="1" applyFill="1" applyBorder="1" applyAlignment="1">
      <alignment horizontal="center"/>
    </xf>
    <xf numFmtId="171" fontId="7" fillId="2" borderId="0" xfId="2" applyFont="1" applyFill="1"/>
    <xf numFmtId="171" fontId="7" fillId="2" borderId="3" xfId="2" applyFont="1" applyFill="1" applyBorder="1"/>
    <xf numFmtId="0" fontId="9" fillId="13" borderId="0" xfId="0" applyFont="1" applyFill="1"/>
    <xf numFmtId="0" fontId="6" fillId="4" borderId="17" xfId="0" applyFont="1" applyFill="1" applyBorder="1" applyAlignment="1">
      <alignment horizontal="center"/>
    </xf>
    <xf numFmtId="171" fontId="22" fillId="4" borderId="17" xfId="2" applyFont="1" applyFill="1" applyBorder="1" applyAlignment="1">
      <alignment horizontal="center"/>
    </xf>
    <xf numFmtId="184" fontId="22" fillId="4" borderId="1" xfId="2" applyNumberFormat="1" applyFont="1" applyFill="1" applyBorder="1" applyAlignment="1">
      <alignment horizontal="center"/>
    </xf>
    <xf numFmtId="175" fontId="7" fillId="2" borderId="0" xfId="0" applyNumberFormat="1" applyFont="1" applyFill="1" applyBorder="1" applyAlignment="1" applyProtection="1">
      <alignment horizontal="center"/>
    </xf>
    <xf numFmtId="0" fontId="6" fillId="7" borderId="1" xfId="0" applyFont="1" applyFill="1" applyBorder="1" applyAlignment="1">
      <alignment horizontal="center"/>
    </xf>
    <xf numFmtId="171" fontId="22" fillId="7" borderId="1" xfId="2" applyFont="1" applyFill="1" applyBorder="1" applyAlignment="1">
      <alignment horizontal="center"/>
    </xf>
    <xf numFmtId="171" fontId="7" fillId="2" borderId="1" xfId="2" applyNumberFormat="1" applyFont="1" applyFill="1" applyBorder="1"/>
    <xf numFmtId="10" fontId="22" fillId="7" borderId="1" xfId="15" applyNumberFormat="1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184" fontId="22" fillId="4" borderId="24" xfId="2" applyNumberFormat="1" applyFont="1" applyFill="1" applyBorder="1" applyAlignment="1">
      <alignment horizontal="center"/>
    </xf>
    <xf numFmtId="171" fontId="22" fillId="4" borderId="24" xfId="2" applyFont="1" applyFill="1" applyBorder="1" applyAlignment="1">
      <alignment horizontal="center"/>
    </xf>
    <xf numFmtId="0" fontId="7" fillId="2" borderId="5" xfId="0" applyFont="1" applyFill="1" applyBorder="1"/>
    <xf numFmtId="0" fontId="6" fillId="6" borderId="5" xfId="0" applyFont="1" applyFill="1" applyBorder="1"/>
    <xf numFmtId="171" fontId="7" fillId="6" borderId="5" xfId="2" applyFont="1" applyFill="1" applyBorder="1"/>
    <xf numFmtId="0" fontId="45" fillId="2" borderId="0" xfId="0" applyFont="1" applyFill="1"/>
    <xf numFmtId="171" fontId="6" fillId="2" borderId="5" xfId="2" applyFont="1" applyFill="1" applyBorder="1"/>
    <xf numFmtId="175" fontId="7" fillId="2" borderId="23" xfId="0" applyNumberFormat="1" applyFont="1" applyFill="1" applyBorder="1" applyAlignment="1" applyProtection="1"/>
    <xf numFmtId="0" fontId="6" fillId="2" borderId="5" xfId="0" applyFont="1" applyFill="1" applyBorder="1"/>
    <xf numFmtId="0" fontId="40" fillId="0" borderId="0" xfId="0" applyFont="1" applyFill="1"/>
    <xf numFmtId="0" fontId="6" fillId="0" borderId="0" xfId="0" applyFont="1" applyFill="1"/>
    <xf numFmtId="0" fontId="46" fillId="0" borderId="0" xfId="9" applyFont="1" applyFill="1" applyAlignment="1" applyProtection="1"/>
    <xf numFmtId="0" fontId="47" fillId="0" borderId="0" xfId="9" applyFont="1" applyFill="1" applyAlignment="1" applyProtection="1"/>
    <xf numFmtId="0" fontId="6" fillId="2" borderId="4" xfId="0" applyFont="1" applyFill="1" applyBorder="1"/>
    <xf numFmtId="171" fontId="6" fillId="2" borderId="11" xfId="0" applyNumberFormat="1" applyFont="1" applyFill="1" applyBorder="1"/>
    <xf numFmtId="171" fontId="6" fillId="2" borderId="10" xfId="0" applyNumberFormat="1" applyFont="1" applyFill="1" applyBorder="1"/>
    <xf numFmtId="0" fontId="6" fillId="0" borderId="0" xfId="0" applyFont="1" applyFill="1" applyBorder="1"/>
    <xf numFmtId="171" fontId="6" fillId="0" borderId="0" xfId="0" applyNumberFormat="1" applyFont="1" applyFill="1" applyBorder="1"/>
    <xf numFmtId="184" fontId="6" fillId="0" borderId="0" xfId="2" applyNumberFormat="1" applyFont="1" applyFill="1"/>
    <xf numFmtId="184" fontId="6" fillId="0" borderId="0" xfId="2" applyNumberFormat="1" applyFont="1" applyFill="1" applyBorder="1"/>
    <xf numFmtId="0" fontId="6" fillId="14" borderId="5" xfId="0" applyFont="1" applyFill="1" applyBorder="1"/>
    <xf numFmtId="0" fontId="7" fillId="12" borderId="4" xfId="0" applyFont="1" applyFill="1" applyBorder="1"/>
    <xf numFmtId="0" fontId="7" fillId="12" borderId="11" xfId="0" applyFont="1" applyFill="1" applyBorder="1"/>
    <xf numFmtId="171" fontId="7" fillId="12" borderId="5" xfId="2" applyFont="1" applyFill="1" applyBorder="1"/>
    <xf numFmtId="0" fontId="6" fillId="2" borderId="0" xfId="0" applyFont="1" applyFill="1" applyBorder="1"/>
    <xf numFmtId="0" fontId="6" fillId="2" borderId="11" xfId="0" applyFont="1" applyFill="1" applyBorder="1"/>
    <xf numFmtId="171" fontId="6" fillId="2" borderId="0" xfId="0" applyNumberFormat="1" applyFont="1" applyFill="1" applyBorder="1"/>
    <xf numFmtId="171" fontId="6" fillId="2" borderId="0" xfId="2" applyFont="1" applyFill="1" applyBorder="1"/>
    <xf numFmtId="0" fontId="6" fillId="12" borderId="5" xfId="0" applyFont="1" applyFill="1" applyBorder="1"/>
    <xf numFmtId="171" fontId="6" fillId="12" borderId="5" xfId="0" applyNumberFormat="1" applyFont="1" applyFill="1" applyBorder="1"/>
    <xf numFmtId="171" fontId="6" fillId="12" borderId="5" xfId="2" applyFont="1" applyFill="1" applyBorder="1"/>
    <xf numFmtId="171" fontId="7" fillId="13" borderId="33" xfId="2" applyFont="1" applyFill="1" applyBorder="1"/>
    <xf numFmtId="0" fontId="6" fillId="6" borderId="11" xfId="0" applyFont="1" applyFill="1" applyBorder="1"/>
    <xf numFmtId="171" fontId="7" fillId="6" borderId="11" xfId="2" applyFont="1" applyFill="1" applyBorder="1"/>
    <xf numFmtId="171" fontId="7" fillId="6" borderId="10" xfId="2" applyFont="1" applyFill="1" applyBorder="1"/>
    <xf numFmtId="171" fontId="7" fillId="2" borderId="11" xfId="2" applyFont="1" applyFill="1" applyBorder="1"/>
    <xf numFmtId="171" fontId="7" fillId="2" borderId="10" xfId="2" applyFont="1" applyFill="1" applyBorder="1"/>
    <xf numFmtId="171" fontId="7" fillId="15" borderId="1" xfId="2" applyNumberFormat="1" applyFont="1" applyFill="1" applyBorder="1"/>
    <xf numFmtId="171" fontId="13" fillId="0" borderId="0" xfId="0" applyNumberFormat="1" applyFont="1" applyFill="1"/>
    <xf numFmtId="171" fontId="6" fillId="16" borderId="2" xfId="2" applyFont="1" applyFill="1" applyBorder="1" applyAlignment="1" applyProtection="1"/>
    <xf numFmtId="184" fontId="6" fillId="0" borderId="5" xfId="2" applyNumberFormat="1" applyFont="1" applyFill="1" applyBorder="1"/>
    <xf numFmtId="0" fontId="6" fillId="0" borderId="29" xfId="0" applyFont="1" applyFill="1" applyBorder="1"/>
    <xf numFmtId="184" fontId="40" fillId="0" borderId="29" xfId="2" applyNumberFormat="1" applyFont="1" applyFill="1" applyBorder="1"/>
    <xf numFmtId="0" fontId="6" fillId="15" borderId="5" xfId="0" applyFont="1" applyFill="1" applyBorder="1"/>
    <xf numFmtId="184" fontId="40" fillId="0" borderId="0" xfId="2" applyNumberFormat="1" applyFont="1" applyFill="1" applyBorder="1"/>
    <xf numFmtId="185" fontId="6" fillId="17" borderId="1" xfId="2" applyNumberFormat="1" applyFont="1" applyFill="1" applyBorder="1" applyAlignment="1">
      <alignment horizontal="center" vertical="center"/>
    </xf>
    <xf numFmtId="186" fontId="6" fillId="12" borderId="27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left"/>
    </xf>
    <xf numFmtId="171" fontId="7" fillId="0" borderId="0" xfId="2" applyFont="1" applyFill="1"/>
    <xf numFmtId="171" fontId="7" fillId="0" borderId="3" xfId="2" applyFont="1" applyFill="1" applyBorder="1"/>
    <xf numFmtId="171" fontId="22" fillId="0" borderId="17" xfId="2" applyFont="1" applyFill="1" applyBorder="1" applyAlignment="1">
      <alignment horizontal="center"/>
    </xf>
    <xf numFmtId="184" fontId="22" fillId="0" borderId="1" xfId="2" applyNumberFormat="1" applyFont="1" applyFill="1" applyBorder="1" applyAlignment="1">
      <alignment horizontal="center"/>
    </xf>
    <xf numFmtId="171" fontId="22" fillId="0" borderId="1" xfId="2" applyFont="1" applyFill="1" applyBorder="1" applyAlignment="1">
      <alignment horizontal="center"/>
    </xf>
    <xf numFmtId="171" fontId="7" fillId="0" borderId="1" xfId="2" applyNumberFormat="1" applyFont="1" applyFill="1" applyBorder="1"/>
    <xf numFmtId="10" fontId="22" fillId="0" borderId="1" xfId="15" applyNumberFormat="1" applyFont="1" applyFill="1" applyBorder="1" applyAlignment="1">
      <alignment horizontal="center"/>
    </xf>
    <xf numFmtId="184" fontId="22" fillId="0" borderId="24" xfId="2" applyNumberFormat="1" applyFont="1" applyFill="1" applyBorder="1" applyAlignment="1">
      <alignment horizontal="center"/>
    </xf>
    <xf numFmtId="171" fontId="6" fillId="0" borderId="5" xfId="2" applyFont="1" applyFill="1" applyBorder="1"/>
    <xf numFmtId="171" fontId="6" fillId="0" borderId="5" xfId="0" applyNumberFormat="1" applyFont="1" applyFill="1" applyBorder="1"/>
    <xf numFmtId="0" fontId="7" fillId="0" borderId="4" xfId="0" applyFont="1" applyFill="1" applyBorder="1"/>
    <xf numFmtId="0" fontId="6" fillId="0" borderId="4" xfId="0" applyFont="1" applyFill="1" applyBorder="1"/>
    <xf numFmtId="0" fontId="7" fillId="0" borderId="34" xfId="0" applyFont="1" applyFill="1" applyBorder="1"/>
    <xf numFmtId="171" fontId="7" fillId="0" borderId="10" xfId="2" applyFont="1" applyFill="1" applyBorder="1"/>
    <xf numFmtId="171" fontId="6" fillId="2" borderId="4" xfId="1" applyFont="1" applyFill="1" applyBorder="1" applyAlignment="1">
      <alignment horizontal="right"/>
    </xf>
    <xf numFmtId="171" fontId="7" fillId="2" borderId="4" xfId="0" applyNumberFormat="1" applyFont="1" applyFill="1" applyBorder="1"/>
    <xf numFmtId="171" fontId="9" fillId="0" borderId="4" xfId="2" applyFont="1" applyFill="1" applyBorder="1"/>
    <xf numFmtId="171" fontId="6" fillId="6" borderId="35" xfId="0" applyNumberFormat="1" applyFont="1" applyFill="1" applyBorder="1"/>
    <xf numFmtId="192" fontId="6" fillId="15" borderId="5" xfId="0" applyNumberFormat="1" applyFont="1" applyFill="1" applyBorder="1"/>
    <xf numFmtId="172" fontId="12" fillId="0" borderId="21" xfId="0" applyNumberFormat="1" applyFont="1" applyBorder="1" applyAlignment="1" applyProtection="1">
      <alignment horizontal="center"/>
    </xf>
    <xf numFmtId="172" fontId="12" fillId="0" borderId="20" xfId="0" applyNumberFormat="1" applyFont="1" applyBorder="1" applyAlignment="1" applyProtection="1">
      <alignment horizontal="center"/>
    </xf>
    <xf numFmtId="175" fontId="7" fillId="12" borderId="2" xfId="0" applyNumberFormat="1" applyFont="1" applyFill="1" applyBorder="1" applyAlignment="1" applyProtection="1">
      <alignment horizontal="center"/>
    </xf>
    <xf numFmtId="171" fontId="7" fillId="12" borderId="1" xfId="2" applyFont="1" applyFill="1" applyBorder="1"/>
    <xf numFmtId="171" fontId="7" fillId="12" borderId="1" xfId="2" applyNumberFormat="1" applyFont="1" applyFill="1" applyBorder="1"/>
    <xf numFmtId="171" fontId="8" fillId="2" borderId="0" xfId="0" applyNumberFormat="1" applyFont="1" applyFill="1" applyBorder="1"/>
    <xf numFmtId="0" fontId="8" fillId="0" borderId="0" xfId="0" applyFont="1" applyFill="1" applyAlignment="1">
      <alignment horizontal="center"/>
    </xf>
    <xf numFmtId="171" fontId="13" fillId="0" borderId="0" xfId="1" applyFont="1" applyFill="1" applyAlignment="1">
      <alignment horizontal="center"/>
    </xf>
    <xf numFmtId="171" fontId="13" fillId="0" borderId="0" xfId="1" applyFont="1" applyFill="1"/>
    <xf numFmtId="0" fontId="20" fillId="18" borderId="0" xfId="0" applyFont="1" applyFill="1"/>
    <xf numFmtId="0" fontId="13" fillId="18" borderId="0" xfId="0" applyFont="1" applyFill="1"/>
    <xf numFmtId="171" fontId="20" fillId="18" borderId="0" xfId="0" applyNumberFormat="1" applyFont="1" applyFill="1"/>
    <xf numFmtId="0" fontId="20" fillId="19" borderId="0" xfId="0" applyFont="1" applyFill="1"/>
    <xf numFmtId="0" fontId="13" fillId="19" borderId="0" xfId="0" applyFont="1" applyFill="1"/>
    <xf numFmtId="171" fontId="20" fillId="19" borderId="0" xfId="0" applyNumberFormat="1" applyFont="1" applyFill="1"/>
    <xf numFmtId="0" fontId="48" fillId="0" borderId="0" xfId="0" applyFont="1"/>
    <xf numFmtId="171" fontId="49" fillId="0" borderId="4" xfId="1" applyFont="1" applyBorder="1"/>
    <xf numFmtId="171" fontId="44" fillId="0" borderId="31" xfId="2" applyFont="1" applyBorder="1"/>
    <xf numFmtId="171" fontId="0" fillId="0" borderId="0" xfId="2" applyFont="1"/>
    <xf numFmtId="0" fontId="8" fillId="0" borderId="3" xfId="0" applyFont="1" applyBorder="1" applyAlignment="1">
      <alignment horizontal="left"/>
    </xf>
    <xf numFmtId="0" fontId="7" fillId="0" borderId="0" xfId="0" applyFont="1"/>
    <xf numFmtId="171" fontId="6" fillId="4" borderId="26" xfId="2" applyFont="1" applyFill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14" fontId="7" fillId="2" borderId="0" xfId="0" applyNumberFormat="1" applyFont="1" applyFill="1" applyAlignment="1">
      <alignment wrapText="1"/>
    </xf>
    <xf numFmtId="175" fontId="7" fillId="2" borderId="2" xfId="0" applyNumberFormat="1" applyFont="1" applyFill="1" applyBorder="1" applyAlignment="1">
      <alignment horizontal="center"/>
    </xf>
    <xf numFmtId="1" fontId="6" fillId="4" borderId="26" xfId="2" applyNumberFormat="1" applyFont="1" applyFill="1" applyBorder="1" applyAlignment="1">
      <alignment horizontal="center" wrapText="1"/>
    </xf>
    <xf numFmtId="10" fontId="6" fillId="20" borderId="1" xfId="15" applyNumberFormat="1" applyFont="1" applyFill="1" applyBorder="1" applyAlignment="1">
      <alignment horizontal="center" vertical="center"/>
    </xf>
    <xf numFmtId="171" fontId="6" fillId="3" borderId="5" xfId="2" applyFont="1" applyFill="1" applyBorder="1"/>
    <xf numFmtId="175" fontId="6" fillId="2" borderId="2" xfId="0" applyNumberFormat="1" applyFont="1" applyFill="1" applyBorder="1"/>
    <xf numFmtId="175" fontId="6" fillId="2" borderId="23" xfId="0" applyNumberFormat="1" applyFont="1" applyFill="1" applyBorder="1"/>
    <xf numFmtId="171" fontId="7" fillId="0" borderId="0" xfId="0" applyNumberFormat="1" applyFont="1"/>
    <xf numFmtId="175" fontId="6" fillId="6" borderId="23" xfId="0" applyNumberFormat="1" applyFont="1" applyFill="1" applyBorder="1"/>
    <xf numFmtId="175" fontId="6" fillId="10" borderId="23" xfId="0" applyNumberFormat="1" applyFont="1" applyFill="1" applyBorder="1"/>
    <xf numFmtId="171" fontId="6" fillId="10" borderId="5" xfId="2" applyFont="1" applyFill="1" applyBorder="1"/>
    <xf numFmtId="171" fontId="6" fillId="4" borderId="17" xfId="2" applyFont="1" applyFill="1" applyBorder="1" applyAlignment="1">
      <alignment horizontal="center"/>
    </xf>
    <xf numFmtId="171" fontId="6" fillId="4" borderId="23" xfId="2" applyFont="1" applyFill="1" applyBorder="1" applyAlignment="1">
      <alignment horizontal="centerContinuous"/>
    </xf>
    <xf numFmtId="171" fontId="6" fillId="4" borderId="21" xfId="2" applyFont="1" applyFill="1" applyBorder="1" applyAlignment="1">
      <alignment horizontal="centerContinuous"/>
    </xf>
    <xf numFmtId="0" fontId="6" fillId="4" borderId="36" xfId="0" applyFont="1" applyFill="1" applyBorder="1" applyAlignment="1">
      <alignment horizontal="center"/>
    </xf>
    <xf numFmtId="0" fontId="6" fillId="4" borderId="3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1" fontId="6" fillId="4" borderId="1" xfId="2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39" xfId="0" applyFont="1" applyFill="1" applyBorder="1" applyAlignment="1">
      <alignment horizontal="center"/>
    </xf>
    <xf numFmtId="171" fontId="7" fillId="2" borderId="1" xfId="2" applyFont="1" applyFill="1" applyBorder="1" applyProtection="1"/>
    <xf numFmtId="10" fontId="7" fillId="2" borderId="6" xfId="15" applyNumberFormat="1" applyFont="1" applyFill="1" applyBorder="1"/>
    <xf numFmtId="10" fontId="7" fillId="2" borderId="7" xfId="15" applyNumberFormat="1" applyFont="1" applyFill="1" applyBorder="1"/>
    <xf numFmtId="10" fontId="7" fillId="2" borderId="8" xfId="15" applyNumberFormat="1" applyFont="1" applyFill="1" applyBorder="1" applyAlignment="1" applyProtection="1">
      <alignment horizontal="center"/>
    </xf>
    <xf numFmtId="39" fontId="7" fillId="2" borderId="9" xfId="0" applyNumberFormat="1" applyFont="1" applyFill="1" applyBorder="1"/>
    <xf numFmtId="10" fontId="7" fillId="2" borderId="6" xfId="2" applyNumberFormat="1" applyFont="1" applyFill="1" applyBorder="1"/>
    <xf numFmtId="171" fontId="7" fillId="2" borderId="7" xfId="2" applyFont="1" applyFill="1" applyBorder="1"/>
    <xf numFmtId="171" fontId="6" fillId="10" borderId="4" xfId="2" applyFont="1" applyFill="1" applyBorder="1"/>
    <xf numFmtId="10" fontId="7" fillId="10" borderId="7" xfId="15" applyNumberFormat="1" applyFont="1" applyFill="1" applyBorder="1"/>
    <xf numFmtId="39" fontId="6" fillId="4" borderId="2" xfId="0" applyNumberFormat="1" applyFont="1" applyFill="1" applyBorder="1"/>
    <xf numFmtId="171" fontId="6" fillId="2" borderId="4" xfId="2" applyFont="1" applyFill="1" applyBorder="1" applyAlignment="1">
      <alignment horizontal="right"/>
    </xf>
    <xf numFmtId="171" fontId="25" fillId="0" borderId="4" xfId="2" applyFont="1" applyFill="1" applyBorder="1"/>
    <xf numFmtId="171" fontId="6" fillId="6" borderId="40" xfId="0" applyNumberFormat="1" applyFont="1" applyFill="1" applyBorder="1"/>
    <xf numFmtId="171" fontId="6" fillId="10" borderId="4" xfId="0" applyNumberFormat="1" applyFont="1" applyFill="1" applyBorder="1"/>
    <xf numFmtId="172" fontId="7" fillId="2" borderId="0" xfId="0" applyNumberFormat="1" applyFont="1" applyFill="1"/>
    <xf numFmtId="172" fontId="8" fillId="10" borderId="2" xfId="0" applyNumberFormat="1" applyFont="1" applyFill="1" applyBorder="1" applyAlignment="1">
      <alignment horizontal="center" vertical="center"/>
    </xf>
    <xf numFmtId="171" fontId="8" fillId="10" borderId="2" xfId="2" applyFont="1" applyFill="1" applyBorder="1" applyAlignment="1" applyProtection="1">
      <alignment horizontal="center" vertical="center" wrapText="1"/>
    </xf>
    <xf numFmtId="0" fontId="13" fillId="0" borderId="0" xfId="0" applyFont="1"/>
    <xf numFmtId="171" fontId="13" fillId="0" borderId="0" xfId="0" applyNumberFormat="1" applyFont="1"/>
    <xf numFmtId="171" fontId="13" fillId="0" borderId="0" xfId="2" applyFont="1" applyFill="1"/>
    <xf numFmtId="172" fontId="8" fillId="0" borderId="0" xfId="0" applyNumberFormat="1" applyFont="1"/>
    <xf numFmtId="172" fontId="7" fillId="0" borderId="0" xfId="0" applyNumberFormat="1" applyFont="1"/>
    <xf numFmtId="172" fontId="6" fillId="5" borderId="12" xfId="0" applyNumberFormat="1" applyFont="1" applyFill="1" applyBorder="1" applyAlignment="1">
      <alignment horizontal="center"/>
    </xf>
    <xf numFmtId="172" fontId="7" fillId="2" borderId="13" xfId="0" applyNumberFormat="1" applyFont="1" applyFill="1" applyBorder="1"/>
    <xf numFmtId="172" fontId="7" fillId="2" borderId="14" xfId="0" applyNumberFormat="1" applyFont="1" applyFill="1" applyBorder="1"/>
    <xf numFmtId="172" fontId="6" fillId="2" borderId="14" xfId="0" applyNumberFormat="1" applyFont="1" applyFill="1" applyBorder="1"/>
    <xf numFmtId="172" fontId="7" fillId="5" borderId="2" xfId="0" applyNumberFormat="1" applyFont="1" applyFill="1" applyBorder="1" applyAlignment="1">
      <alignment horizontal="center"/>
    </xf>
    <xf numFmtId="172" fontId="7" fillId="2" borderId="15" xfId="0" applyNumberFormat="1" applyFont="1" applyFill="1" applyBorder="1"/>
    <xf numFmtId="172" fontId="6" fillId="2" borderId="0" xfId="0" applyNumberFormat="1" applyFont="1" applyFill="1"/>
    <xf numFmtId="173" fontId="7" fillId="5" borderId="2" xfId="0" applyNumberFormat="1" applyFont="1" applyFill="1" applyBorder="1" applyAlignment="1">
      <alignment horizontal="center"/>
    </xf>
    <xf numFmtId="172" fontId="6" fillId="2" borderId="15" xfId="0" applyNumberFormat="1" applyFont="1" applyFill="1" applyBorder="1" applyAlignment="1">
      <alignment horizontal="centerContinuous"/>
    </xf>
    <xf numFmtId="172" fontId="6" fillId="2" borderId="0" xfId="0" applyNumberFormat="1" applyFont="1" applyFill="1" applyAlignment="1">
      <alignment horizontal="center"/>
    </xf>
    <xf numFmtId="172" fontId="6" fillId="2" borderId="0" xfId="0" applyNumberFormat="1" applyFont="1" applyFill="1" applyAlignment="1">
      <alignment horizontal="centerContinuous"/>
    </xf>
    <xf numFmtId="39" fontId="11" fillId="5" borderId="2" xfId="0" applyNumberFormat="1" applyFont="1" applyFill="1" applyBorder="1" applyAlignment="1">
      <alignment horizontal="center"/>
    </xf>
    <xf numFmtId="172" fontId="7" fillId="2" borderId="0" xfId="0" applyNumberFormat="1" applyFont="1" applyFill="1" applyAlignment="1">
      <alignment horizontal="centerContinuous"/>
    </xf>
    <xf numFmtId="172" fontId="7" fillId="2" borderId="16" xfId="0" applyNumberFormat="1" applyFont="1" applyFill="1" applyBorder="1"/>
    <xf numFmtId="172" fontId="6" fillId="5" borderId="17" xfId="0" applyNumberFormat="1" applyFont="1" applyFill="1" applyBorder="1" applyAlignment="1">
      <alignment horizontal="center"/>
    </xf>
    <xf numFmtId="172" fontId="6" fillId="5" borderId="13" xfId="0" applyNumberFormat="1" applyFont="1" applyFill="1" applyBorder="1" applyAlignment="1">
      <alignment horizontal="centerContinuous"/>
    </xf>
    <xf numFmtId="172" fontId="6" fillId="5" borderId="18" xfId="0" applyNumberFormat="1" applyFont="1" applyFill="1" applyBorder="1" applyAlignment="1">
      <alignment horizontal="centerContinuous"/>
    </xf>
    <xf numFmtId="172" fontId="6" fillId="5" borderId="23" xfId="0" applyNumberFormat="1" applyFont="1" applyFill="1" applyBorder="1" applyAlignment="1">
      <alignment horizontal="center"/>
    </xf>
    <xf numFmtId="172" fontId="6" fillId="5" borderId="17" xfId="0" applyNumberFormat="1" applyFont="1" applyFill="1" applyBorder="1" applyAlignment="1">
      <alignment horizontal="centerContinuous"/>
    </xf>
    <xf numFmtId="172" fontId="6" fillId="5" borderId="1" xfId="0" applyNumberFormat="1" applyFont="1" applyFill="1" applyBorder="1" applyAlignment="1">
      <alignment horizontal="center"/>
    </xf>
    <xf numFmtId="172" fontId="6" fillId="5" borderId="19" xfId="0" applyNumberFormat="1" applyFont="1" applyFill="1" applyBorder="1" applyAlignment="1">
      <alignment horizontal="center"/>
    </xf>
    <xf numFmtId="172" fontId="6" fillId="5" borderId="7" xfId="0" applyNumberFormat="1" applyFont="1" applyFill="1" applyBorder="1" applyAlignment="1">
      <alignment horizontal="center"/>
    </xf>
    <xf numFmtId="172" fontId="6" fillId="5" borderId="2" xfId="0" applyNumberFormat="1" applyFont="1" applyFill="1" applyBorder="1" applyAlignment="1">
      <alignment horizontal="center"/>
    </xf>
    <xf numFmtId="172" fontId="6" fillId="5" borderId="1" xfId="0" applyNumberFormat="1" applyFont="1" applyFill="1" applyBorder="1" applyAlignment="1">
      <alignment horizontal="centerContinuous"/>
    </xf>
    <xf numFmtId="172" fontId="7" fillId="0" borderId="17" xfId="0" applyNumberFormat="1" applyFont="1" applyBorder="1" applyAlignment="1">
      <alignment horizontal="center"/>
    </xf>
    <xf numFmtId="39" fontId="7" fillId="0" borderId="17" xfId="0" applyNumberFormat="1" applyFont="1" applyBorder="1"/>
    <xf numFmtId="172" fontId="7" fillId="0" borderId="14" xfId="0" applyNumberFormat="1" applyFont="1" applyBorder="1" applyAlignment="1">
      <alignment horizontal="center"/>
    </xf>
    <xf numFmtId="172" fontId="7" fillId="0" borderId="14" xfId="0" applyNumberFormat="1" applyFont="1" applyBorder="1" applyAlignment="1">
      <alignment horizontal="left"/>
    </xf>
    <xf numFmtId="39" fontId="6" fillId="5" borderId="29" xfId="0" applyNumberFormat="1" applyFont="1" applyFill="1" applyBorder="1" applyAlignment="1">
      <alignment vertical="center"/>
    </xf>
    <xf numFmtId="172" fontId="38" fillId="0" borderId="0" xfId="0" applyNumberFormat="1" applyFont="1"/>
    <xf numFmtId="172" fontId="39" fillId="0" borderId="0" xfId="0" applyNumberFormat="1" applyFont="1"/>
    <xf numFmtId="39" fontId="7" fillId="0" borderId="0" xfId="0" applyNumberFormat="1" applyFont="1"/>
    <xf numFmtId="171" fontId="44" fillId="0" borderId="32" xfId="1" applyFont="1" applyBorder="1"/>
    <xf numFmtId="171" fontId="7" fillId="2" borderId="0" xfId="2" applyFont="1" applyFill="1" applyBorder="1" applyProtection="1"/>
    <xf numFmtId="43" fontId="7" fillId="2" borderId="0" xfId="0" applyNumberFormat="1" applyFont="1" applyFill="1"/>
    <xf numFmtId="0" fontId="11" fillId="17" borderId="1" xfId="0" applyFont="1" applyFill="1" applyBorder="1" applyAlignment="1">
      <alignment horizontal="center" vertical="center" wrapText="1"/>
    </xf>
    <xf numFmtId="14" fontId="7" fillId="21" borderId="0" xfId="0" applyNumberFormat="1" applyFont="1" applyFill="1"/>
    <xf numFmtId="0" fontId="6" fillId="21" borderId="0" xfId="0" applyFont="1" applyFill="1"/>
    <xf numFmtId="171" fontId="6" fillId="0" borderId="2" xfId="2" applyFont="1" applyFill="1" applyBorder="1" applyAlignment="1" applyProtection="1">
      <alignment horizontal="center" vertical="center" wrapText="1"/>
    </xf>
    <xf numFmtId="172" fontId="6" fillId="0" borderId="2" xfId="0" applyNumberFormat="1" applyFont="1" applyFill="1" applyBorder="1" applyAlignment="1">
      <alignment horizontal="left"/>
    </xf>
    <xf numFmtId="0" fontId="6" fillId="12" borderId="26" xfId="2" applyNumberFormat="1" applyFont="1" applyFill="1" applyBorder="1" applyAlignment="1">
      <alignment horizontal="center" vertical="center" wrapText="1"/>
    </xf>
    <xf numFmtId="171" fontId="50" fillId="13" borderId="30" xfId="1" applyFont="1" applyFill="1" applyBorder="1"/>
    <xf numFmtId="171" fontId="44" fillId="13" borderId="31" xfId="1" applyFont="1" applyFill="1" applyBorder="1"/>
    <xf numFmtId="0" fontId="43" fillId="13" borderId="41" xfId="0" applyFont="1" applyFill="1" applyBorder="1" applyAlignment="1">
      <alignment wrapText="1"/>
    </xf>
    <xf numFmtId="171" fontId="43" fillId="0" borderId="41" xfId="2" applyFont="1" applyFill="1" applyBorder="1"/>
    <xf numFmtId="10" fontId="40" fillId="17" borderId="1" xfId="15" applyNumberFormat="1" applyFont="1" applyFill="1" applyBorder="1" applyAlignment="1">
      <alignment horizontal="center" vertical="center"/>
    </xf>
    <xf numFmtId="184" fontId="6" fillId="0" borderId="2" xfId="2" applyNumberFormat="1" applyFont="1" applyFill="1" applyBorder="1" applyProtection="1"/>
    <xf numFmtId="171" fontId="50" fillId="0" borderId="30" xfId="2" applyFont="1" applyBorder="1"/>
    <xf numFmtId="4" fontId="28" fillId="0" borderId="0" xfId="0" applyNumberFormat="1" applyFont="1"/>
    <xf numFmtId="200" fontId="7" fillId="2" borderId="0" xfId="0" applyNumberFormat="1" applyFont="1" applyFill="1"/>
    <xf numFmtId="0" fontId="44" fillId="0" borderId="42" xfId="0" applyFont="1" applyBorder="1"/>
    <xf numFmtId="0" fontId="44" fillId="0" borderId="43" xfId="0" applyFont="1" applyBorder="1" applyAlignment="1">
      <alignment horizontal="left" wrapText="1"/>
    </xf>
    <xf numFmtId="0" fontId="43" fillId="0" borderId="44" xfId="0" applyFont="1" applyBorder="1" applyAlignment="1">
      <alignment horizontal="center" vertical="center" wrapText="1"/>
    </xf>
    <xf numFmtId="0" fontId="43" fillId="0" borderId="45" xfId="0" applyFont="1" applyBorder="1" applyAlignment="1">
      <alignment horizontal="center" vertical="center" wrapText="1"/>
    </xf>
    <xf numFmtId="0" fontId="0" fillId="12" borderId="44" xfId="0" applyFill="1" applyBorder="1" applyAlignment="1">
      <alignment horizontal="center"/>
    </xf>
    <xf numFmtId="0" fontId="0" fillId="12" borderId="45" xfId="0" applyFill="1" applyBorder="1" applyAlignment="1">
      <alignment horizontal="center"/>
    </xf>
    <xf numFmtId="0" fontId="43" fillId="0" borderId="44" xfId="0" applyFont="1" applyBorder="1" applyAlignment="1">
      <alignment vertical="top"/>
    </xf>
    <xf numFmtId="170" fontId="43" fillId="0" borderId="45" xfId="7" applyFont="1" applyFill="1" applyBorder="1" applyAlignment="1">
      <alignment vertical="top"/>
    </xf>
    <xf numFmtId="171" fontId="43" fillId="0" borderId="44" xfId="2" applyFont="1" applyBorder="1" applyAlignment="1">
      <alignment vertical="top" wrapText="1"/>
    </xf>
    <xf numFmtId="190" fontId="44" fillId="0" borderId="45" xfId="2" applyNumberFormat="1" applyFont="1" applyFill="1" applyBorder="1" applyAlignment="1">
      <alignment vertical="top"/>
    </xf>
    <xf numFmtId="171" fontId="43" fillId="12" borderId="44" xfId="2" applyFont="1" applyFill="1" applyBorder="1" applyAlignment="1">
      <alignment horizontal="center" vertical="top" wrapText="1"/>
    </xf>
    <xf numFmtId="171" fontId="43" fillId="12" borderId="45" xfId="2" applyFont="1" applyFill="1" applyBorder="1" applyAlignment="1">
      <alignment horizontal="center" vertical="top" wrapText="1"/>
    </xf>
    <xf numFmtId="171" fontId="43" fillId="0" borderId="44" xfId="2" applyFont="1" applyFill="1" applyBorder="1" applyAlignment="1">
      <alignment horizontal="left" vertical="center" wrapText="1"/>
    </xf>
    <xf numFmtId="171" fontId="43" fillId="0" borderId="45" xfId="2" applyFont="1" applyFill="1" applyBorder="1" applyAlignment="1">
      <alignment horizontal="center" vertical="center" wrapText="1"/>
    </xf>
    <xf numFmtId="171" fontId="44" fillId="0" borderId="45" xfId="2" applyFont="1" applyFill="1" applyBorder="1" applyAlignment="1">
      <alignment horizontal="center" vertical="center" wrapText="1"/>
    </xf>
    <xf numFmtId="171" fontId="43" fillId="0" borderId="44" xfId="2" applyFont="1" applyBorder="1" applyAlignment="1">
      <alignment horizontal="left" vertical="top" wrapText="1"/>
    </xf>
    <xf numFmtId="190" fontId="44" fillId="0" borderId="45" xfId="2" applyNumberFormat="1" applyFont="1" applyFill="1" applyBorder="1" applyAlignment="1">
      <alignment horizontal="left" vertical="top" wrapText="1"/>
    </xf>
    <xf numFmtId="171" fontId="43" fillId="0" borderId="44" xfId="2" applyFont="1" applyFill="1" applyBorder="1" applyAlignment="1">
      <alignment horizontal="left" vertical="top" wrapText="1"/>
    </xf>
    <xf numFmtId="170" fontId="44" fillId="0" borderId="45" xfId="7" applyFont="1" applyFill="1" applyBorder="1" applyAlignment="1">
      <alignment vertical="top" wrapText="1"/>
    </xf>
    <xf numFmtId="190" fontId="44" fillId="0" borderId="45" xfId="2" applyNumberFormat="1" applyFont="1" applyFill="1" applyBorder="1" applyAlignment="1">
      <alignment vertical="top" wrapText="1"/>
    </xf>
    <xf numFmtId="0" fontId="43" fillId="0" borderId="44" xfId="0" applyFont="1" applyBorder="1" applyAlignment="1">
      <alignment horizontal="left" vertical="top"/>
    </xf>
    <xf numFmtId="190" fontId="43" fillId="0" borderId="45" xfId="2" applyNumberFormat="1" applyFont="1" applyFill="1" applyBorder="1" applyAlignment="1">
      <alignment vertical="top"/>
    </xf>
    <xf numFmtId="0" fontId="43" fillId="12" borderId="44" xfId="0" applyFont="1" applyFill="1" applyBorder="1" applyAlignment="1">
      <alignment horizontal="center" vertical="top"/>
    </xf>
    <xf numFmtId="0" fontId="43" fillId="12" borderId="45" xfId="0" applyFont="1" applyFill="1" applyBorder="1" applyAlignment="1">
      <alignment horizontal="center" vertical="top"/>
    </xf>
    <xf numFmtId="0" fontId="43" fillId="0" borderId="44" xfId="0" applyFont="1" applyFill="1" applyBorder="1" applyAlignment="1">
      <alignment horizontal="left" vertical="top"/>
    </xf>
    <xf numFmtId="0" fontId="43" fillId="12" borderId="44" xfId="0" applyFont="1" applyFill="1" applyBorder="1" applyAlignment="1">
      <alignment horizontal="center" vertical="top" wrapText="1"/>
    </xf>
    <xf numFmtId="0" fontId="43" fillId="12" borderId="45" xfId="0" applyFont="1" applyFill="1" applyBorder="1" applyAlignment="1">
      <alignment horizontal="center" vertical="top" wrapText="1"/>
    </xf>
    <xf numFmtId="0" fontId="43" fillId="0" borderId="44" xfId="0" applyFont="1" applyFill="1" applyBorder="1" applyAlignment="1">
      <alignment horizontal="left" vertical="center" wrapText="1"/>
    </xf>
    <xf numFmtId="171" fontId="43" fillId="0" borderId="45" xfId="1" applyFont="1" applyFill="1" applyBorder="1" applyAlignment="1">
      <alignment horizontal="center" vertical="center" wrapText="1"/>
    </xf>
    <xf numFmtId="0" fontId="43" fillId="0" borderId="44" xfId="0" applyFont="1" applyBorder="1" applyAlignment="1">
      <alignment horizontal="left"/>
    </xf>
    <xf numFmtId="0" fontId="44" fillId="12" borderId="44" xfId="0" applyFont="1" applyFill="1" applyBorder="1" applyAlignment="1">
      <alignment horizontal="center" vertical="top"/>
    </xf>
    <xf numFmtId="0" fontId="44" fillId="12" borderId="45" xfId="0" applyFont="1" applyFill="1" applyBorder="1" applyAlignment="1">
      <alignment horizontal="center" vertical="top"/>
    </xf>
    <xf numFmtId="0" fontId="0" fillId="12" borderId="44" xfId="0" applyFill="1" applyBorder="1" applyAlignment="1">
      <alignment horizontal="center" vertical="top"/>
    </xf>
    <xf numFmtId="0" fontId="0" fillId="12" borderId="45" xfId="0" applyFill="1" applyBorder="1" applyAlignment="1">
      <alignment horizontal="center" vertical="top"/>
    </xf>
    <xf numFmtId="0" fontId="43" fillId="13" borderId="45" xfId="0" applyFont="1" applyFill="1" applyBorder="1" applyAlignment="1">
      <alignment horizontal="center" vertical="center"/>
    </xf>
    <xf numFmtId="170" fontId="43" fillId="13" borderId="45" xfId="8" applyFont="1" applyFill="1" applyBorder="1" applyAlignment="1">
      <alignment horizontal="center" vertical="center"/>
    </xf>
    <xf numFmtId="182" fontId="43" fillId="13" borderId="46" xfId="0" applyNumberFormat="1" applyFont="1" applyFill="1" applyBorder="1" applyAlignment="1">
      <alignment horizontal="center" vertical="center"/>
    </xf>
    <xf numFmtId="171" fontId="6" fillId="2" borderId="4" xfId="2" applyFont="1" applyFill="1" applyBorder="1"/>
    <xf numFmtId="0" fontId="43" fillId="0" borderId="47" xfId="0" applyFont="1" applyBorder="1" applyAlignment="1">
      <alignment horizontal="left" vertical="top"/>
    </xf>
    <xf numFmtId="0" fontId="5" fillId="0" borderId="5" xfId="10" applyBorder="1"/>
    <xf numFmtId="0" fontId="51" fillId="0" borderId="5" xfId="10" applyFont="1" applyFill="1" applyBorder="1" applyAlignment="1">
      <alignment horizontal="center" vertical="center"/>
    </xf>
    <xf numFmtId="0" fontId="51" fillId="0" borderId="5" xfId="10" applyFont="1" applyFill="1" applyBorder="1" applyAlignment="1">
      <alignment horizontal="center" vertical="center" wrapText="1"/>
    </xf>
    <xf numFmtId="0" fontId="43" fillId="0" borderId="5" xfId="10" applyFont="1" applyBorder="1" applyAlignment="1">
      <alignment horizontal="center" vertical="center"/>
    </xf>
    <xf numFmtId="0" fontId="5" fillId="0" borderId="5" xfId="10" applyBorder="1" applyAlignment="1"/>
    <xf numFmtId="0" fontId="43" fillId="0" borderId="5" xfId="10" applyFont="1" applyBorder="1" applyAlignment="1">
      <alignment horizontal="center" vertical="center" wrapText="1"/>
    </xf>
    <xf numFmtId="184" fontId="37" fillId="13" borderId="5" xfId="2" applyNumberFormat="1" applyFont="1" applyFill="1" applyBorder="1" applyAlignment="1">
      <alignment horizontal="center" vertical="center"/>
    </xf>
    <xf numFmtId="0" fontId="5" fillId="13" borderId="5" xfId="10" applyFill="1" applyBorder="1"/>
    <xf numFmtId="0" fontId="43" fillId="13" borderId="5" xfId="10" applyFont="1" applyFill="1" applyBorder="1" applyAlignment="1">
      <alignment horizontal="center" vertical="center" wrapText="1"/>
    </xf>
    <xf numFmtId="15" fontId="36" fillId="0" borderId="5" xfId="10" applyNumberFormat="1" applyFont="1" applyBorder="1" applyAlignment="1">
      <alignment horizontal="center" vertical="center"/>
    </xf>
    <xf numFmtId="15" fontId="36" fillId="13" borderId="5" xfId="10" applyNumberFormat="1" applyFont="1" applyFill="1" applyBorder="1" applyAlignment="1">
      <alignment horizontal="center" vertical="center"/>
    </xf>
    <xf numFmtId="0" fontId="5" fillId="0" borderId="5" xfId="10" applyFont="1" applyBorder="1"/>
    <xf numFmtId="171" fontId="43" fillId="0" borderId="5" xfId="10" applyNumberFormat="1" applyFont="1" applyBorder="1"/>
    <xf numFmtId="15" fontId="52" fillId="0" borderId="5" xfId="10" applyNumberFormat="1" applyFont="1" applyBorder="1" applyAlignment="1">
      <alignment horizontal="center" vertical="center"/>
    </xf>
    <xf numFmtId="184" fontId="52" fillId="0" borderId="5" xfId="2" applyNumberFormat="1" applyFont="1" applyBorder="1" applyAlignment="1">
      <alignment vertical="center"/>
    </xf>
    <xf numFmtId="184" fontId="53" fillId="0" borderId="5" xfId="2" applyNumberFormat="1" applyFont="1" applyBorder="1" applyAlignment="1">
      <alignment vertical="center"/>
    </xf>
    <xf numFmtId="171" fontId="5" fillId="0" borderId="5" xfId="10" applyNumberFormat="1" applyBorder="1"/>
    <xf numFmtId="171" fontId="5" fillId="0" borderId="0" xfId="1" applyFont="1"/>
    <xf numFmtId="171" fontId="48" fillId="0" borderId="0" xfId="1" applyFont="1"/>
    <xf numFmtId="175" fontId="7" fillId="2" borderId="23" xfId="0" applyNumberFormat="1" applyFont="1" applyFill="1" applyBorder="1" applyAlignment="1">
      <alignment horizontal="center"/>
    </xf>
    <xf numFmtId="171" fontId="7" fillId="5" borderId="2" xfId="1" applyFont="1" applyFill="1" applyBorder="1"/>
    <xf numFmtId="171" fontId="7" fillId="0" borderId="17" xfId="1" applyFont="1" applyBorder="1"/>
    <xf numFmtId="171" fontId="7" fillId="0" borderId="17" xfId="1" applyFont="1" applyBorder="1" applyAlignment="1">
      <alignment horizontal="center"/>
    </xf>
    <xf numFmtId="4" fontId="7" fillId="2" borderId="0" xfId="0" applyNumberFormat="1" applyFont="1" applyFill="1"/>
    <xf numFmtId="171" fontId="6" fillId="4" borderId="17" xfId="1" applyFont="1" applyFill="1" applyBorder="1" applyAlignment="1">
      <alignment horizontal="center"/>
    </xf>
    <xf numFmtId="171" fontId="7" fillId="13" borderId="1" xfId="2" applyFont="1" applyFill="1" applyBorder="1"/>
    <xf numFmtId="0" fontId="0" fillId="0" borderId="0" xfId="0" applyAlignment="1">
      <alignment horizontal="left"/>
    </xf>
    <xf numFmtId="0" fontId="48" fillId="0" borderId="0" xfId="0" applyFont="1" applyAlignment="1">
      <alignment horizontal="left"/>
    </xf>
    <xf numFmtId="175" fontId="7" fillId="2" borderId="0" xfId="0" applyNumberFormat="1" applyFont="1" applyFill="1" applyBorder="1" applyAlignment="1">
      <alignment horizontal="center"/>
    </xf>
    <xf numFmtId="171" fontId="7" fillId="0" borderId="0" xfId="2" applyFont="1" applyFill="1" applyBorder="1"/>
    <xf numFmtId="171" fontId="7" fillId="2" borderId="0" xfId="2" applyFont="1" applyFill="1" applyBorder="1"/>
    <xf numFmtId="171" fontId="7" fillId="13" borderId="0" xfId="1" applyFont="1" applyFill="1"/>
    <xf numFmtId="0" fontId="5" fillId="13" borderId="5" xfId="10" applyFill="1" applyBorder="1" applyAlignment="1"/>
    <xf numFmtId="171" fontId="43" fillId="13" borderId="5" xfId="10" applyNumberFormat="1" applyFont="1" applyFill="1" applyBorder="1"/>
    <xf numFmtId="0" fontId="48" fillId="0" borderId="0" xfId="0" applyFont="1" applyAlignment="1">
      <alignment horizontal="center"/>
    </xf>
    <xf numFmtId="0" fontId="44" fillId="12" borderId="48" xfId="0" applyFont="1" applyFill="1" applyBorder="1" applyAlignment="1">
      <alignment horizontal="center"/>
    </xf>
    <xf numFmtId="171" fontId="44" fillId="13" borderId="5" xfId="1" applyFont="1" applyFill="1" applyBorder="1" applyAlignment="1">
      <alignment horizontal="left" vertical="center" wrapText="1"/>
    </xf>
    <xf numFmtId="171" fontId="50" fillId="13" borderId="49" xfId="1" applyFont="1" applyFill="1" applyBorder="1" applyAlignment="1">
      <alignment horizontal="left" vertical="center" wrapText="1"/>
    </xf>
    <xf numFmtId="171" fontId="50" fillId="13" borderId="49" xfId="1" applyFont="1" applyFill="1" applyBorder="1"/>
    <xf numFmtId="171" fontId="51" fillId="0" borderId="31" xfId="2" applyFont="1" applyBorder="1" applyAlignment="1">
      <alignment vertical="center"/>
    </xf>
    <xf numFmtId="171" fontId="6" fillId="2" borderId="50" xfId="2" applyFont="1" applyFill="1" applyBorder="1" applyAlignment="1">
      <alignment horizontal="right"/>
    </xf>
    <xf numFmtId="171" fontId="40" fillId="0" borderId="5" xfId="2" applyFont="1" applyFill="1" applyBorder="1"/>
    <xf numFmtId="171" fontId="6" fillId="2" borderId="46" xfId="2" applyFont="1" applyFill="1" applyBorder="1"/>
    <xf numFmtId="171" fontId="7" fillId="2" borderId="7" xfId="2" applyFont="1" applyFill="1" applyBorder="1" applyProtection="1"/>
    <xf numFmtId="190" fontId="44" fillId="13" borderId="45" xfId="7" applyNumberFormat="1" applyFont="1" applyFill="1" applyBorder="1" applyAlignment="1">
      <alignment vertical="top"/>
    </xf>
    <xf numFmtId="190" fontId="44" fillId="13" borderId="45" xfId="2" applyNumberFormat="1" applyFont="1" applyFill="1" applyBorder="1" applyAlignment="1">
      <alignment vertical="top"/>
    </xf>
    <xf numFmtId="190" fontId="43" fillId="13" borderId="45" xfId="2" applyNumberFormat="1" applyFont="1" applyFill="1" applyBorder="1" applyAlignment="1">
      <alignment vertical="top"/>
    </xf>
    <xf numFmtId="0" fontId="53" fillId="2" borderId="3" xfId="0" applyFont="1" applyFill="1" applyBorder="1" applyAlignment="1">
      <alignment horizontal="left"/>
    </xf>
    <xf numFmtId="0" fontId="53" fillId="0" borderId="3" xfId="0" applyFont="1" applyBorder="1" applyAlignment="1">
      <alignment horizontal="left"/>
    </xf>
    <xf numFmtId="17" fontId="53" fillId="2" borderId="3" xfId="0" applyNumberFormat="1" applyFont="1" applyFill="1" applyBorder="1" applyAlignment="1">
      <alignment horizontal="right"/>
    </xf>
    <xf numFmtId="0" fontId="54" fillId="21" borderId="0" xfId="0" applyFont="1" applyFill="1" applyAlignment="1">
      <alignment horizontal="left"/>
    </xf>
    <xf numFmtId="0" fontId="54" fillId="0" borderId="0" xfId="0" applyFont="1" applyAlignment="1">
      <alignment horizontal="center" vertical="center"/>
    </xf>
    <xf numFmtId="0" fontId="54" fillId="0" borderId="0" xfId="0" applyFont="1" applyAlignment="1">
      <alignment horizontal="center"/>
    </xf>
    <xf numFmtId="0" fontId="54" fillId="0" borderId="0" xfId="0" applyFont="1" applyAlignment="1">
      <alignment horizontal="left"/>
    </xf>
    <xf numFmtId="171" fontId="55" fillId="0" borderId="28" xfId="1" applyFont="1" applyBorder="1"/>
    <xf numFmtId="171" fontId="6" fillId="4" borderId="24" xfId="1" applyFont="1" applyFill="1" applyBorder="1" applyAlignment="1">
      <alignment horizontal="center"/>
    </xf>
    <xf numFmtId="171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71" fontId="6" fillId="2" borderId="0" xfId="0" applyNumberFormat="1" applyFont="1" applyFill="1"/>
    <xf numFmtId="171" fontId="7" fillId="13" borderId="0" xfId="2" applyFont="1" applyFill="1"/>
    <xf numFmtId="171" fontId="6" fillId="4" borderId="24" xfId="2" applyFont="1" applyFill="1" applyBorder="1" applyAlignment="1">
      <alignment horizontal="center"/>
    </xf>
    <xf numFmtId="171" fontId="40" fillId="0" borderId="0" xfId="2" applyFont="1" applyFill="1" applyBorder="1" applyAlignment="1">
      <alignment horizontal="center"/>
    </xf>
    <xf numFmtId="0" fontId="44" fillId="0" borderId="0" xfId="13" applyFont="1" applyAlignment="1">
      <alignment horizontal="center"/>
    </xf>
    <xf numFmtId="0" fontId="44" fillId="0" borderId="0" xfId="13" applyFont="1"/>
    <xf numFmtId="0" fontId="43" fillId="0" borderId="0" xfId="13" applyFont="1"/>
    <xf numFmtId="0" fontId="44" fillId="0" borderId="51" xfId="13" applyFont="1" applyBorder="1"/>
    <xf numFmtId="171" fontId="44" fillId="0" borderId="0" xfId="2" applyFont="1" applyFill="1"/>
    <xf numFmtId="0" fontId="50" fillId="0" borderId="0" xfId="13" applyFont="1" applyAlignment="1">
      <alignment horizontal="left"/>
    </xf>
    <xf numFmtId="15" fontId="44" fillId="0" borderId="0" xfId="13" applyNumberFormat="1" applyFont="1"/>
    <xf numFmtId="0" fontId="44" fillId="0" borderId="5" xfId="13" applyFont="1" applyBorder="1" applyAlignment="1">
      <alignment horizontal="center"/>
    </xf>
    <xf numFmtId="0" fontId="43" fillId="22" borderId="4" xfId="13" applyFont="1" applyFill="1" applyBorder="1" applyAlignment="1">
      <alignment horizontal="left" vertical="center"/>
    </xf>
    <xf numFmtId="0" fontId="43" fillId="22" borderId="11" xfId="13" applyFont="1" applyFill="1" applyBorder="1" applyAlignment="1">
      <alignment horizontal="left" vertical="center"/>
    </xf>
    <xf numFmtId="0" fontId="43" fillId="22" borderId="10" xfId="13" applyFont="1" applyFill="1" applyBorder="1" applyAlignment="1">
      <alignment horizontal="left" vertical="center"/>
    </xf>
    <xf numFmtId="0" fontId="56" fillId="0" borderId="0" xfId="13" applyFont="1" applyAlignment="1">
      <alignment horizontal="center"/>
    </xf>
    <xf numFmtId="0" fontId="56" fillId="0" borderId="0" xfId="13" applyFont="1" applyAlignment="1">
      <alignment horizontal="left"/>
    </xf>
    <xf numFmtId="0" fontId="50" fillId="0" borderId="52" xfId="13" applyFont="1" applyBorder="1" applyAlignment="1">
      <alignment horizontal="left"/>
    </xf>
    <xf numFmtId="0" fontId="50" fillId="0" borderId="53" xfId="13" applyFont="1" applyBorder="1" applyAlignment="1">
      <alignment horizontal="left"/>
    </xf>
    <xf numFmtId="15" fontId="50" fillId="0" borderId="54" xfId="13" applyNumberFormat="1" applyFont="1" applyBorder="1" applyAlignment="1">
      <alignment horizontal="left"/>
    </xf>
    <xf numFmtId="0" fontId="44" fillId="13" borderId="5" xfId="13" applyFont="1" applyFill="1" applyBorder="1" applyAlignment="1">
      <alignment horizontal="center"/>
    </xf>
    <xf numFmtId="0" fontId="43" fillId="13" borderId="55" xfId="13" applyFont="1" applyFill="1" applyBorder="1" applyAlignment="1">
      <alignment horizontal="left" vertical="center"/>
    </xf>
    <xf numFmtId="0" fontId="43" fillId="13" borderId="56" xfId="13" applyFont="1" applyFill="1" applyBorder="1"/>
    <xf numFmtId="15" fontId="43" fillId="13" borderId="57" xfId="13" applyNumberFormat="1" applyFont="1" applyFill="1" applyBorder="1"/>
    <xf numFmtId="0" fontId="57" fillId="13" borderId="57" xfId="13" applyFont="1" applyFill="1" applyBorder="1" applyAlignment="1">
      <alignment horizontal="left"/>
    </xf>
    <xf numFmtId="2" fontId="50" fillId="13" borderId="58" xfId="13" applyNumberFormat="1" applyFont="1" applyFill="1" applyBorder="1" applyAlignment="1">
      <alignment horizontal="center"/>
    </xf>
    <xf numFmtId="0" fontId="50" fillId="13" borderId="59" xfId="13" applyFont="1" applyFill="1" applyBorder="1" applyAlignment="1">
      <alignment horizontal="left"/>
    </xf>
    <xf numFmtId="0" fontId="50" fillId="13" borderId="54" xfId="13" applyFont="1" applyFill="1" applyBorder="1" applyAlignment="1">
      <alignment horizontal="left"/>
    </xf>
    <xf numFmtId="171" fontId="44" fillId="13" borderId="0" xfId="2" applyFont="1" applyFill="1"/>
    <xf numFmtId="0" fontId="44" fillId="13" borderId="0" xfId="13" applyFont="1" applyFill="1"/>
    <xf numFmtId="175" fontId="44" fillId="0" borderId="38" xfId="13" applyNumberFormat="1" applyFont="1" applyBorder="1" applyAlignment="1">
      <alignment horizontal="center"/>
    </xf>
    <xf numFmtId="184" fontId="44" fillId="0" borderId="38" xfId="2" applyNumberFormat="1" applyFont="1" applyFill="1" applyBorder="1" applyAlignment="1">
      <alignment horizontal="center"/>
    </xf>
    <xf numFmtId="171" fontId="43" fillId="0" borderId="38" xfId="2" applyFont="1" applyFill="1" applyBorder="1" applyAlignment="1">
      <alignment horizontal="center"/>
    </xf>
    <xf numFmtId="0" fontId="44" fillId="0" borderId="60" xfId="13" applyFont="1" applyBorder="1"/>
    <xf numFmtId="0" fontId="44" fillId="0" borderId="0" xfId="13" applyFont="1" applyAlignment="1">
      <alignment horizontal="left"/>
    </xf>
    <xf numFmtId="15" fontId="50" fillId="0" borderId="61" xfId="13" applyNumberFormat="1" applyFont="1" applyBorder="1" applyAlignment="1">
      <alignment horizontal="left"/>
    </xf>
    <xf numFmtId="15" fontId="50" fillId="0" borderId="52" xfId="13" applyNumberFormat="1" applyFont="1" applyBorder="1" applyAlignment="1">
      <alignment horizontal="left"/>
    </xf>
    <xf numFmtId="15" fontId="50" fillId="0" borderId="62" xfId="13" applyNumberFormat="1" applyFont="1" applyBorder="1" applyAlignment="1">
      <alignment horizontal="left"/>
    </xf>
    <xf numFmtId="0" fontId="43" fillId="22" borderId="63" xfId="13" applyFont="1" applyFill="1" applyBorder="1" applyAlignment="1">
      <alignment horizontal="center"/>
    </xf>
    <xf numFmtId="0" fontId="44" fillId="22" borderId="33" xfId="13" applyFont="1" applyFill="1" applyBorder="1" applyAlignment="1">
      <alignment horizontal="center"/>
    </xf>
    <xf numFmtId="175" fontId="43" fillId="22" borderId="5" xfId="13" applyNumberFormat="1" applyFont="1" applyFill="1" applyBorder="1" applyAlignment="1">
      <alignment horizontal="center"/>
    </xf>
    <xf numFmtId="184" fontId="43" fillId="22" borderId="5" xfId="2" applyNumberFormat="1" applyFont="1" applyFill="1" applyBorder="1" applyAlignment="1">
      <alignment horizontal="center"/>
    </xf>
    <xf numFmtId="171" fontId="43" fillId="22" borderId="5" xfId="2" applyFont="1" applyFill="1" applyBorder="1" applyAlignment="1">
      <alignment horizontal="center"/>
    </xf>
    <xf numFmtId="0" fontId="43" fillId="22" borderId="5" xfId="13" applyFont="1" applyFill="1" applyBorder="1" applyAlignment="1">
      <alignment horizontal="center"/>
    </xf>
    <xf numFmtId="0" fontId="43" fillId="22" borderId="5" xfId="13" applyFont="1" applyFill="1" applyBorder="1" applyAlignment="1">
      <alignment horizontal="center" vertical="center"/>
    </xf>
    <xf numFmtId="0" fontId="44" fillId="22" borderId="64" xfId="13" applyFont="1" applyFill="1" applyBorder="1" applyAlignment="1">
      <alignment horizontal="center"/>
    </xf>
    <xf numFmtId="0" fontId="44" fillId="22" borderId="37" xfId="13" applyFont="1" applyFill="1" applyBorder="1" applyAlignment="1">
      <alignment horizontal="center"/>
    </xf>
    <xf numFmtId="175" fontId="44" fillId="22" borderId="38" xfId="13" applyNumberFormat="1" applyFont="1" applyFill="1" applyBorder="1" applyAlignment="1">
      <alignment horizontal="center"/>
    </xf>
    <xf numFmtId="175" fontId="43" fillId="22" borderId="38" xfId="13" applyNumberFormat="1" applyFont="1" applyFill="1" applyBorder="1" applyAlignment="1">
      <alignment horizontal="center"/>
    </xf>
    <xf numFmtId="171" fontId="43" fillId="22" borderId="38" xfId="2" applyFont="1" applyFill="1" applyBorder="1" applyAlignment="1">
      <alignment horizontal="center"/>
    </xf>
    <xf numFmtId="0" fontId="43" fillId="22" borderId="38" xfId="13" applyFont="1" applyFill="1" applyBorder="1" applyAlignment="1">
      <alignment horizontal="center"/>
    </xf>
    <xf numFmtId="0" fontId="43" fillId="22" borderId="38" xfId="13" applyFont="1" applyFill="1" applyBorder="1" applyAlignment="1">
      <alignment horizontal="center" vertical="center"/>
    </xf>
    <xf numFmtId="0" fontId="44" fillId="12" borderId="5" xfId="13" applyFont="1" applyFill="1" applyBorder="1" applyAlignment="1">
      <alignment horizontal="center"/>
    </xf>
    <xf numFmtId="171" fontId="44" fillId="12" borderId="5" xfId="2" applyFont="1" applyFill="1" applyBorder="1" applyAlignment="1">
      <alignment horizontal="center"/>
    </xf>
    <xf numFmtId="171" fontId="44" fillId="12" borderId="5" xfId="13" applyNumberFormat="1" applyFont="1" applyFill="1" applyBorder="1" applyAlignment="1">
      <alignment horizontal="center"/>
    </xf>
    <xf numFmtId="171" fontId="44" fillId="12" borderId="5" xfId="2" applyFont="1" applyFill="1" applyBorder="1"/>
    <xf numFmtId="0" fontId="58" fillId="12" borderId="0" xfId="13" applyFont="1" applyFill="1" applyAlignment="1">
      <alignment horizontal="center"/>
    </xf>
    <xf numFmtId="171" fontId="44" fillId="12" borderId="5" xfId="13" applyNumberFormat="1" applyFont="1" applyFill="1" applyBorder="1"/>
    <xf numFmtId="171" fontId="44" fillId="12" borderId="5" xfId="2" applyFont="1" applyFill="1" applyBorder="1" applyAlignment="1">
      <alignment horizontal="right"/>
    </xf>
    <xf numFmtId="175" fontId="44" fillId="12" borderId="5" xfId="13" applyNumberFormat="1" applyFont="1" applyFill="1" applyBorder="1" applyAlignment="1">
      <alignment horizontal="right"/>
    </xf>
    <xf numFmtId="0" fontId="44" fillId="12" borderId="0" xfId="13" applyFont="1" applyFill="1"/>
    <xf numFmtId="0" fontId="43" fillId="0" borderId="5" xfId="13" applyFont="1" applyBorder="1" applyAlignment="1">
      <alignment horizontal="center"/>
    </xf>
    <xf numFmtId="175" fontId="43" fillId="0" borderId="5" xfId="13" applyNumberFormat="1" applyFont="1" applyBorder="1"/>
    <xf numFmtId="171" fontId="43" fillId="0" borderId="5" xfId="2" applyFont="1" applyFill="1" applyBorder="1" applyAlignment="1">
      <alignment horizontal="center"/>
    </xf>
    <xf numFmtId="171" fontId="44" fillId="0" borderId="0" xfId="13" applyNumberFormat="1" applyFont="1"/>
    <xf numFmtId="14" fontId="44" fillId="0" borderId="0" xfId="13" quotePrefix="1" applyNumberFormat="1" applyFont="1"/>
    <xf numFmtId="0" fontId="44" fillId="0" borderId="65" xfId="13" applyFont="1" applyBorder="1"/>
    <xf numFmtId="0" fontId="44" fillId="0" borderId="25" xfId="13" applyFont="1" applyBorder="1"/>
    <xf numFmtId="171" fontId="43" fillId="0" borderId="25" xfId="2" applyFont="1" applyBorder="1"/>
    <xf numFmtId="171" fontId="44" fillId="0" borderId="66" xfId="13" applyNumberFormat="1" applyFont="1" applyBorder="1"/>
    <xf numFmtId="171" fontId="43" fillId="0" borderId="0" xfId="13" applyNumberFormat="1" applyFont="1"/>
    <xf numFmtId="0" fontId="43" fillId="0" borderId="67" xfId="13" applyFont="1" applyBorder="1" applyAlignment="1">
      <alignment horizontal="center"/>
    </xf>
    <xf numFmtId="171" fontId="43" fillId="0" borderId="0" xfId="2" applyFont="1" applyBorder="1"/>
    <xf numFmtId="171" fontId="44" fillId="0" borderId="68" xfId="13" applyNumberFormat="1" applyFont="1" applyBorder="1"/>
    <xf numFmtId="14" fontId="44" fillId="0" borderId="0" xfId="13" applyNumberFormat="1" applyFont="1"/>
    <xf numFmtId="0" fontId="44" fillId="0" borderId="67" xfId="13" applyFont="1" applyBorder="1" applyAlignment="1">
      <alignment horizontal="center" vertical="top"/>
    </xf>
    <xf numFmtId="171" fontId="44" fillId="0" borderId="0" xfId="2" applyFont="1" applyBorder="1" applyAlignment="1">
      <alignment vertical="top"/>
    </xf>
    <xf numFmtId="171" fontId="43" fillId="0" borderId="0" xfId="2" applyFont="1" applyBorder="1" applyAlignment="1">
      <alignment vertical="top"/>
    </xf>
    <xf numFmtId="0" fontId="44" fillId="0" borderId="67" xfId="13" applyFont="1" applyBorder="1"/>
    <xf numFmtId="0" fontId="44" fillId="0" borderId="69" xfId="13" applyFont="1" applyBorder="1"/>
    <xf numFmtId="0" fontId="44" fillId="0" borderId="3" xfId="13" applyFont="1" applyBorder="1"/>
    <xf numFmtId="171" fontId="44" fillId="0" borderId="70" xfId="13" applyNumberFormat="1" applyFont="1" applyBorder="1"/>
    <xf numFmtId="0" fontId="44" fillId="0" borderId="0" xfId="13" applyFont="1" applyBorder="1"/>
    <xf numFmtId="171" fontId="44" fillId="0" borderId="0" xfId="13" applyNumberFormat="1" applyFont="1" applyBorder="1"/>
    <xf numFmtId="0" fontId="44" fillId="0" borderId="0" xfId="13" applyFont="1" applyBorder="1" applyAlignment="1">
      <alignment vertical="top"/>
    </xf>
    <xf numFmtId="0" fontId="44" fillId="0" borderId="68" xfId="13" applyFont="1" applyBorder="1"/>
    <xf numFmtId="0" fontId="44" fillId="0" borderId="3" xfId="13" applyFont="1" applyBorder="1" applyAlignment="1">
      <alignment vertical="top"/>
    </xf>
    <xf numFmtId="171" fontId="43" fillId="0" borderId="3" xfId="2" applyFont="1" applyBorder="1" applyAlignment="1">
      <alignment vertical="top"/>
    </xf>
    <xf numFmtId="0" fontId="5" fillId="0" borderId="0" xfId="0" applyFont="1"/>
    <xf numFmtId="171" fontId="7" fillId="13" borderId="5" xfId="1" applyFont="1" applyFill="1" applyBorder="1"/>
    <xf numFmtId="171" fontId="7" fillId="13" borderId="5" xfId="2" applyFont="1" applyFill="1" applyBorder="1"/>
    <xf numFmtId="0" fontId="5" fillId="0" borderId="0" xfId="0" applyFont="1" applyBorder="1"/>
    <xf numFmtId="0" fontId="44" fillId="0" borderId="63" xfId="0" applyFont="1" applyBorder="1" applyAlignment="1">
      <alignment horizontal="left" vertical="center" wrapText="1"/>
    </xf>
    <xf numFmtId="0" fontId="44" fillId="0" borderId="44" xfId="0" applyFont="1" applyBorder="1" applyAlignment="1">
      <alignment horizontal="left" vertical="center" wrapText="1"/>
    </xf>
    <xf numFmtId="171" fontId="50" fillId="0" borderId="45" xfId="2" applyFont="1" applyBorder="1" applyAlignment="1">
      <alignment vertical="center"/>
    </xf>
    <xf numFmtId="171" fontId="6" fillId="13" borderId="1" xfId="2" applyFont="1" applyFill="1" applyBorder="1"/>
    <xf numFmtId="175" fontId="7" fillId="13" borderId="2" xfId="0" applyNumberFormat="1" applyFont="1" applyFill="1" applyBorder="1" applyAlignment="1">
      <alignment horizontal="center"/>
    </xf>
    <xf numFmtId="0" fontId="7" fillId="13" borderId="0" xfId="0" applyFont="1" applyFill="1"/>
    <xf numFmtId="15" fontId="36" fillId="0" borderId="5" xfId="10" applyNumberFormat="1" applyFont="1" applyFill="1" applyBorder="1" applyAlignment="1">
      <alignment horizontal="center" vertical="center"/>
    </xf>
    <xf numFmtId="0" fontId="5" fillId="0" borderId="5" xfId="10" applyFill="1" applyBorder="1"/>
    <xf numFmtId="171" fontId="44" fillId="12" borderId="0" xfId="2" applyFont="1" applyFill="1"/>
    <xf numFmtId="4" fontId="0" fillId="0" borderId="0" xfId="0" applyNumberFormat="1" applyAlignment="1">
      <alignment horizontal="center"/>
    </xf>
    <xf numFmtId="14" fontId="7" fillId="13" borderId="0" xfId="0" applyNumberFormat="1" applyFont="1" applyFill="1" applyAlignment="1">
      <alignment horizontal="right"/>
    </xf>
    <xf numFmtId="0" fontId="7" fillId="13" borderId="0" xfId="0" applyFont="1" applyFill="1" applyAlignment="1">
      <alignment horizontal="right"/>
    </xf>
    <xf numFmtId="0" fontId="6" fillId="13" borderId="0" xfId="0" applyFont="1" applyFill="1" applyAlignment="1">
      <alignment horizontal="center"/>
    </xf>
    <xf numFmtId="4" fontId="0" fillId="0" borderId="0" xfId="0" applyNumberFormat="1"/>
    <xf numFmtId="171" fontId="7" fillId="0" borderId="45" xfId="2" applyFont="1" applyFill="1" applyBorder="1"/>
    <xf numFmtId="171" fontId="7" fillId="0" borderId="4" xfId="2" applyFont="1" applyFill="1" applyBorder="1"/>
    <xf numFmtId="43" fontId="5" fillId="0" borderId="5" xfId="10" applyNumberFormat="1" applyBorder="1"/>
    <xf numFmtId="171" fontId="44" fillId="0" borderId="0" xfId="1" applyFont="1"/>
    <xf numFmtId="0" fontId="6" fillId="0" borderId="55" xfId="0" applyFont="1" applyBorder="1" applyAlignment="1"/>
    <xf numFmtId="0" fontId="6" fillId="0" borderId="55" xfId="0" quotePrefix="1" applyFont="1" applyBorder="1" applyAlignment="1">
      <alignment horizontal="right"/>
    </xf>
    <xf numFmtId="171" fontId="51" fillId="0" borderId="32" xfId="2" applyFont="1" applyBorder="1" applyAlignment="1">
      <alignment vertical="center"/>
    </xf>
    <xf numFmtId="0" fontId="43" fillId="0" borderId="56" xfId="0" applyFont="1" applyBorder="1"/>
    <xf numFmtId="171" fontId="43" fillId="0" borderId="29" xfId="2" applyFont="1" applyBorder="1"/>
    <xf numFmtId="171" fontId="43" fillId="0" borderId="48" xfId="2" applyFont="1" applyBorder="1"/>
    <xf numFmtId="171" fontId="50" fillId="0" borderId="29" xfId="2" applyFont="1" applyBorder="1" applyAlignment="1">
      <alignment vertical="center"/>
    </xf>
    <xf numFmtId="171" fontId="44" fillId="13" borderId="4" xfId="1" applyFont="1" applyFill="1" applyBorder="1" applyAlignment="1">
      <alignment horizontal="left" vertical="center" wrapText="1"/>
    </xf>
    <xf numFmtId="171" fontId="48" fillId="0" borderId="5" xfId="2" applyFont="1" applyBorder="1"/>
    <xf numFmtId="171" fontId="7" fillId="13" borderId="7" xfId="2" applyFont="1" applyFill="1" applyBorder="1"/>
    <xf numFmtId="171" fontId="48" fillId="0" borderId="4" xfId="1" applyFont="1" applyBorder="1"/>
    <xf numFmtId="171" fontId="0" fillId="0" borderId="0" xfId="1" applyFont="1" applyAlignment="1">
      <alignment horizontal="center"/>
    </xf>
    <xf numFmtId="184" fontId="59" fillId="0" borderId="5" xfId="2" applyNumberFormat="1" applyFont="1" applyBorder="1" applyAlignment="1">
      <alignment vertical="center"/>
    </xf>
    <xf numFmtId="171" fontId="59" fillId="0" borderId="5" xfId="2" applyFont="1" applyBorder="1" applyAlignment="1">
      <alignment vertical="center"/>
    </xf>
    <xf numFmtId="0" fontId="31" fillId="0" borderId="5" xfId="10" applyFont="1" applyBorder="1"/>
    <xf numFmtId="171" fontId="59" fillId="0" borderId="5" xfId="1" applyFont="1" applyBorder="1"/>
    <xf numFmtId="171" fontId="60" fillId="0" borderId="5" xfId="1" applyFont="1" applyBorder="1"/>
    <xf numFmtId="171" fontId="59" fillId="0" borderId="5" xfId="1" applyFont="1" applyFill="1" applyBorder="1"/>
    <xf numFmtId="43" fontId="36" fillId="0" borderId="5" xfId="0" applyNumberFormat="1" applyFont="1" applyBorder="1"/>
    <xf numFmtId="4" fontId="59" fillId="0" borderId="0" xfId="0" applyNumberFormat="1" applyFont="1"/>
    <xf numFmtId="184" fontId="59" fillId="13" borderId="5" xfId="2" applyNumberFormat="1" applyFont="1" applyFill="1" applyBorder="1" applyAlignment="1">
      <alignment vertical="center"/>
    </xf>
    <xf numFmtId="171" fontId="59" fillId="13" borderId="5" xfId="2" applyFont="1" applyFill="1" applyBorder="1" applyAlignment="1">
      <alignment vertical="center"/>
    </xf>
    <xf numFmtId="0" fontId="31" fillId="13" borderId="5" xfId="10" applyFont="1" applyFill="1" applyBorder="1"/>
    <xf numFmtId="171" fontId="59" fillId="13" borderId="5" xfId="1" applyFont="1" applyFill="1" applyBorder="1"/>
    <xf numFmtId="171" fontId="60" fillId="13" borderId="5" xfId="1" applyFont="1" applyFill="1" applyBorder="1"/>
    <xf numFmtId="171" fontId="59" fillId="13" borderId="5" xfId="1" applyFont="1" applyFill="1" applyBorder="1" applyAlignment="1">
      <alignment horizontal="right"/>
    </xf>
    <xf numFmtId="43" fontId="36" fillId="0" borderId="0" xfId="0" applyNumberFormat="1" applyFont="1"/>
    <xf numFmtId="171" fontId="59" fillId="0" borderId="5" xfId="1" applyFont="1" applyFill="1" applyBorder="1" applyAlignment="1"/>
    <xf numFmtId="184" fontId="59" fillId="0" borderId="5" xfId="2" applyNumberFormat="1" applyFont="1" applyFill="1" applyBorder="1" applyAlignment="1">
      <alignment vertical="center"/>
    </xf>
    <xf numFmtId="171" fontId="59" fillId="0" borderId="5" xfId="2" applyFont="1" applyFill="1" applyBorder="1" applyAlignment="1">
      <alignment vertical="center"/>
    </xf>
    <xf numFmtId="0" fontId="31" fillId="0" borderId="5" xfId="10" applyFont="1" applyFill="1" applyBorder="1"/>
    <xf numFmtId="171" fontId="60" fillId="0" borderId="5" xfId="1" applyFont="1" applyFill="1" applyBorder="1"/>
    <xf numFmtId="171" fontId="44" fillId="13" borderId="5" xfId="1" applyFont="1" applyFill="1" applyBorder="1" applyAlignment="1">
      <alignment horizontal="center" wrapText="1"/>
    </xf>
    <xf numFmtId="171" fontId="61" fillId="12" borderId="0" xfId="1" applyFont="1" applyFill="1"/>
    <xf numFmtId="184" fontId="36" fillId="0" borderId="5" xfId="2" applyNumberFormat="1" applyFont="1" applyFill="1" applyBorder="1" applyAlignment="1">
      <alignment vertical="center"/>
    </xf>
    <xf numFmtId="171" fontId="7" fillId="13" borderId="0" xfId="2" applyFont="1" applyFill="1" applyBorder="1"/>
    <xf numFmtId="184" fontId="7" fillId="0" borderId="21" xfId="1" applyNumberFormat="1" applyFont="1" applyFill="1" applyBorder="1" applyAlignment="1" applyProtection="1">
      <alignment horizontal="center" vertical="center" wrapText="1"/>
    </xf>
    <xf numFmtId="184" fontId="13" fillId="2" borderId="0" xfId="0" applyNumberFormat="1" applyFont="1" applyFill="1"/>
    <xf numFmtId="171" fontId="50" fillId="13" borderId="71" xfId="1" applyFont="1" applyFill="1" applyBorder="1"/>
    <xf numFmtId="0" fontId="44" fillId="0" borderId="72" xfId="0" applyFont="1" applyBorder="1"/>
    <xf numFmtId="171" fontId="50" fillId="13" borderId="73" xfId="1" applyFont="1" applyFill="1" applyBorder="1"/>
    <xf numFmtId="171" fontId="50" fillId="0" borderId="71" xfId="2" applyFont="1" applyBorder="1" applyAlignment="1">
      <alignment vertical="center"/>
    </xf>
    <xf numFmtId="0" fontId="43" fillId="12" borderId="56" xfId="0" applyFont="1" applyFill="1" applyBorder="1" applyAlignment="1">
      <alignment horizontal="center"/>
    </xf>
    <xf numFmtId="0" fontId="43" fillId="12" borderId="48" xfId="0" applyFont="1" applyFill="1" applyBorder="1" applyAlignment="1">
      <alignment horizontal="center"/>
    </xf>
    <xf numFmtId="0" fontId="44" fillId="12" borderId="29" xfId="0" applyFont="1" applyFill="1" applyBorder="1" applyAlignment="1">
      <alignment horizontal="center"/>
    </xf>
    <xf numFmtId="0" fontId="44" fillId="0" borderId="64" xfId="0" applyFont="1" applyBorder="1" applyAlignment="1">
      <alignment horizontal="left" vertical="center" wrapText="1"/>
    </xf>
    <xf numFmtId="171" fontId="44" fillId="0" borderId="38" xfId="1" applyFont="1" applyFill="1" applyBorder="1" applyAlignment="1">
      <alignment horizontal="left" vertical="center" wrapText="1"/>
    </xf>
    <xf numFmtId="171" fontId="44" fillId="13" borderId="38" xfId="1" applyFont="1" applyFill="1" applyBorder="1" applyAlignment="1">
      <alignment horizontal="center" wrapText="1"/>
    </xf>
    <xf numFmtId="171" fontId="44" fillId="13" borderId="74" xfId="1" applyFont="1" applyFill="1" applyBorder="1" applyAlignment="1">
      <alignment horizontal="left" vertical="center" wrapText="1"/>
    </xf>
    <xf numFmtId="171" fontId="50" fillId="0" borderId="75" xfId="2" applyFont="1" applyBorder="1" applyAlignment="1">
      <alignment vertical="center"/>
    </xf>
    <xf numFmtId="0" fontId="43" fillId="13" borderId="76" xfId="0" applyFont="1" applyFill="1" applyBorder="1" applyAlignment="1">
      <alignment horizontal="left" vertical="center"/>
    </xf>
    <xf numFmtId="171" fontId="43" fillId="13" borderId="77" xfId="2" applyFont="1" applyFill="1" applyBorder="1" applyAlignment="1">
      <alignment vertical="center"/>
    </xf>
    <xf numFmtId="171" fontId="43" fillId="13" borderId="77" xfId="1" applyFont="1" applyFill="1" applyBorder="1" applyAlignment="1">
      <alignment horizontal="center"/>
    </xf>
    <xf numFmtId="171" fontId="43" fillId="13" borderId="77" xfId="1" applyFont="1" applyFill="1" applyBorder="1" applyAlignment="1">
      <alignment vertical="center"/>
    </xf>
    <xf numFmtId="171" fontId="6" fillId="0" borderId="21" xfId="2" applyFont="1" applyFill="1" applyBorder="1" applyAlignment="1" applyProtection="1">
      <alignment horizontal="center" vertical="center" wrapText="1"/>
    </xf>
    <xf numFmtId="171" fontId="8" fillId="10" borderId="17" xfId="2" applyFont="1" applyFill="1" applyBorder="1" applyAlignment="1" applyProtection="1">
      <alignment horizontal="center" vertical="center" wrapText="1"/>
    </xf>
    <xf numFmtId="171" fontId="5" fillId="0" borderId="0" xfId="1" applyFont="1" applyFill="1"/>
    <xf numFmtId="43" fontId="0" fillId="0" borderId="0" xfId="0" applyNumberFormat="1"/>
    <xf numFmtId="171" fontId="45" fillId="0" borderId="0" xfId="2" applyFont="1" applyFill="1"/>
    <xf numFmtId="43" fontId="6" fillId="2" borderId="0" xfId="0" applyNumberFormat="1" applyFont="1" applyFill="1"/>
    <xf numFmtId="0" fontId="5" fillId="0" borderId="5" xfId="10" applyFont="1" applyFill="1" applyBorder="1"/>
    <xf numFmtId="171" fontId="59" fillId="0" borderId="5" xfId="1" applyFont="1" applyFill="1" applyBorder="1" applyAlignment="1">
      <alignment vertical="center"/>
    </xf>
    <xf numFmtId="171" fontId="62" fillId="0" borderId="10" xfId="1" applyFont="1" applyFill="1" applyBorder="1" applyAlignment="1">
      <alignment horizontal="right"/>
    </xf>
    <xf numFmtId="171" fontId="62" fillId="0" borderId="37" xfId="1" applyFont="1" applyFill="1" applyBorder="1" applyAlignment="1">
      <alignment horizontal="right"/>
    </xf>
    <xf numFmtId="171" fontId="62" fillId="0" borderId="31" xfId="1" applyFont="1" applyFill="1" applyBorder="1" applyAlignment="1">
      <alignment horizontal="right"/>
    </xf>
    <xf numFmtId="171" fontId="44" fillId="13" borderId="78" xfId="1" applyFont="1" applyFill="1" applyBorder="1"/>
    <xf numFmtId="184" fontId="7" fillId="0" borderId="92" xfId="1" applyNumberFormat="1" applyFont="1" applyFill="1" applyBorder="1" applyProtection="1"/>
    <xf numFmtId="172" fontId="6" fillId="0" borderId="93" xfId="0" applyNumberFormat="1" applyFont="1" applyFill="1" applyBorder="1" applyAlignment="1">
      <alignment horizontal="center" vertical="center"/>
    </xf>
    <xf numFmtId="172" fontId="7" fillId="0" borderId="93" xfId="0" applyNumberFormat="1" applyFont="1" applyFill="1" applyBorder="1"/>
    <xf numFmtId="171" fontId="6" fillId="0" borderId="94" xfId="2" applyFont="1" applyFill="1" applyBorder="1" applyAlignment="1" applyProtection="1">
      <alignment horizontal="center" vertical="center" wrapText="1"/>
    </xf>
    <xf numFmtId="192" fontId="7" fillId="2" borderId="0" xfId="0" applyNumberFormat="1" applyFont="1" applyFill="1"/>
    <xf numFmtId="171" fontId="44" fillId="13" borderId="4" xfId="1" applyFont="1" applyFill="1" applyBorder="1" applyAlignment="1">
      <alignment horizontal="center" wrapText="1"/>
    </xf>
    <xf numFmtId="171" fontId="44" fillId="13" borderId="74" xfId="1" applyFont="1" applyFill="1" applyBorder="1" applyAlignment="1">
      <alignment horizontal="center" wrapText="1"/>
    </xf>
    <xf numFmtId="171" fontId="50" fillId="0" borderId="29" xfId="2" applyFont="1" applyBorder="1"/>
    <xf numFmtId="171" fontId="7" fillId="2" borderId="1" xfId="1" applyFont="1" applyFill="1" applyBorder="1" applyAlignment="1">
      <alignment horizontal="center"/>
    </xf>
    <xf numFmtId="171" fontId="44" fillId="13" borderId="71" xfId="1" applyFont="1" applyFill="1" applyBorder="1"/>
    <xf numFmtId="43" fontId="7" fillId="13" borderId="0" xfId="0" applyNumberFormat="1" applyFont="1" applyFill="1"/>
    <xf numFmtId="171" fontId="50" fillId="0" borderId="79" xfId="2" applyFont="1" applyBorder="1"/>
    <xf numFmtId="175" fontId="7" fillId="0" borderId="2" xfId="0" applyNumberFormat="1" applyFont="1" applyFill="1" applyBorder="1" applyAlignment="1" applyProtection="1">
      <alignment horizontal="center"/>
    </xf>
    <xf numFmtId="172" fontId="7" fillId="0" borderId="23" xfId="0" applyNumberFormat="1" applyFont="1" applyFill="1" applyBorder="1"/>
    <xf numFmtId="172" fontId="7" fillId="0" borderId="95" xfId="0" applyNumberFormat="1" applyFont="1" applyFill="1" applyBorder="1"/>
    <xf numFmtId="171" fontId="7" fillId="0" borderId="96" xfId="1" applyFont="1" applyBorder="1"/>
    <xf numFmtId="171" fontId="7" fillId="0" borderId="97" xfId="1" applyFont="1" applyBorder="1"/>
    <xf numFmtId="171" fontId="7" fillId="0" borderId="98" xfId="1" applyFont="1" applyBorder="1"/>
    <xf numFmtId="171" fontId="7" fillId="0" borderId="21" xfId="1" applyFont="1" applyFill="1" applyBorder="1" applyAlignment="1" applyProtection="1">
      <alignment horizontal="center" vertical="center" wrapText="1"/>
    </xf>
    <xf numFmtId="171" fontId="7" fillId="0" borderId="20" xfId="1" applyFont="1" applyFill="1" applyBorder="1" applyAlignment="1" applyProtection="1">
      <alignment horizontal="center" vertical="center" wrapText="1"/>
    </xf>
    <xf numFmtId="171" fontId="7" fillId="0" borderId="99" xfId="1" applyFont="1" applyFill="1" applyBorder="1" applyProtection="1"/>
    <xf numFmtId="171" fontId="7" fillId="0" borderId="100" xfId="1" applyFont="1" applyFill="1" applyBorder="1" applyProtection="1"/>
    <xf numFmtId="171" fontId="7" fillId="0" borderId="101" xfId="1" applyFont="1" applyFill="1" applyBorder="1" applyProtection="1"/>
    <xf numFmtId="171" fontId="7" fillId="0" borderId="2" xfId="1" applyFont="1" applyFill="1" applyBorder="1" applyAlignment="1" applyProtection="1">
      <alignment horizontal="center" vertical="center" wrapText="1"/>
    </xf>
    <xf numFmtId="171" fontId="45" fillId="0" borderId="2" xfId="1" applyFont="1" applyFill="1" applyBorder="1" applyAlignment="1" applyProtection="1">
      <alignment horizontal="right" vertical="center" wrapText="1"/>
    </xf>
    <xf numFmtId="171" fontId="7" fillId="0" borderId="102" xfId="1" applyFont="1" applyFill="1" applyBorder="1" applyProtection="1"/>
    <xf numFmtId="171" fontId="7" fillId="0" borderId="1" xfId="1" applyFont="1" applyFill="1" applyBorder="1" applyProtection="1"/>
    <xf numFmtId="171" fontId="45" fillId="0" borderId="20" xfId="1" applyFont="1" applyFill="1" applyBorder="1" applyAlignment="1" applyProtection="1">
      <alignment horizontal="right" vertical="center" wrapText="1"/>
    </xf>
    <xf numFmtId="0" fontId="8" fillId="2" borderId="3" xfId="0" applyFont="1" applyFill="1" applyBorder="1" applyAlignment="1">
      <alignment horizontal="left" wrapText="1"/>
    </xf>
    <xf numFmtId="0" fontId="34" fillId="4" borderId="26" xfId="0" applyFont="1" applyFill="1" applyBorder="1" applyAlignment="1">
      <alignment horizontal="center" vertical="center" wrapText="1"/>
    </xf>
    <xf numFmtId="171" fontId="34" fillId="20" borderId="26" xfId="1" applyFont="1" applyFill="1" applyBorder="1" applyAlignment="1">
      <alignment horizontal="center" vertical="center" wrapText="1"/>
    </xf>
    <xf numFmtId="175" fontId="28" fillId="2" borderId="2" xfId="0" applyNumberFormat="1" applyFont="1" applyFill="1" applyBorder="1" applyAlignment="1" applyProtection="1">
      <alignment horizontal="center"/>
    </xf>
    <xf numFmtId="171" fontId="28" fillId="0" borderId="1" xfId="2" applyFont="1" applyFill="1" applyBorder="1"/>
    <xf numFmtId="171" fontId="28" fillId="2" borderId="1" xfId="1" applyFont="1" applyFill="1" applyBorder="1"/>
    <xf numFmtId="0" fontId="34" fillId="3" borderId="4" xfId="0" applyFont="1" applyFill="1" applyBorder="1"/>
    <xf numFmtId="171" fontId="34" fillId="3" borderId="5" xfId="1" applyFont="1" applyFill="1" applyBorder="1"/>
    <xf numFmtId="175" fontId="34" fillId="2" borderId="2" xfId="0" applyNumberFormat="1" applyFont="1" applyFill="1" applyBorder="1" applyAlignment="1" applyProtection="1"/>
    <xf numFmtId="171" fontId="28" fillId="0" borderId="5" xfId="1" applyFont="1" applyFill="1" applyBorder="1"/>
    <xf numFmtId="175" fontId="34" fillId="2" borderId="23" xfId="0" applyNumberFormat="1" applyFont="1" applyFill="1" applyBorder="1" applyAlignment="1" applyProtection="1"/>
    <xf numFmtId="171" fontId="28" fillId="2" borderId="5" xfId="1" applyFont="1" applyFill="1" applyBorder="1"/>
    <xf numFmtId="175" fontId="34" fillId="6" borderId="23" xfId="0" applyNumberFormat="1" applyFont="1" applyFill="1" applyBorder="1" applyAlignment="1" applyProtection="1"/>
    <xf numFmtId="171" fontId="34" fillId="6" borderId="5" xfId="1" applyFont="1" applyFill="1" applyBorder="1"/>
    <xf numFmtId="175" fontId="34" fillId="10" borderId="23" xfId="0" applyNumberFormat="1" applyFont="1" applyFill="1" applyBorder="1" applyAlignment="1" applyProtection="1"/>
    <xf numFmtId="171" fontId="34" fillId="10" borderId="5" xfId="1" applyFont="1" applyFill="1" applyBorder="1"/>
    <xf numFmtId="0" fontId="28" fillId="2" borderId="0" xfId="0" applyFont="1" applyFill="1"/>
    <xf numFmtId="0" fontId="35" fillId="2" borderId="3" xfId="0" applyFont="1" applyFill="1" applyBorder="1"/>
    <xf numFmtId="10" fontId="34" fillId="17" borderId="1" xfId="14" applyNumberFormat="1" applyFont="1" applyFill="1" applyBorder="1" applyAlignment="1">
      <alignment horizontal="center" vertical="center"/>
    </xf>
    <xf numFmtId="0" fontId="63" fillId="17" borderId="1" xfId="0" applyFont="1" applyFill="1" applyBorder="1" applyAlignment="1">
      <alignment horizontal="center" vertical="center" wrapText="1"/>
    </xf>
    <xf numFmtId="175" fontId="7" fillId="2" borderId="1" xfId="0" applyNumberFormat="1" applyFont="1" applyFill="1" applyBorder="1" applyAlignment="1">
      <alignment horizontal="center"/>
    </xf>
    <xf numFmtId="171" fontId="48" fillId="2" borderId="0" xfId="1" applyFont="1" applyFill="1"/>
    <xf numFmtId="0" fontId="48" fillId="2" borderId="0" xfId="0" applyFont="1" applyFill="1"/>
    <xf numFmtId="174" fontId="48" fillId="2" borderId="0" xfId="0" applyNumberFormat="1" applyFont="1" applyFill="1" applyAlignment="1" applyProtection="1">
      <alignment horizontal="center"/>
    </xf>
    <xf numFmtId="171" fontId="48" fillId="2" borderId="25" xfId="1" applyFont="1" applyFill="1" applyBorder="1" applyAlignment="1"/>
    <xf numFmtId="0" fontId="64" fillId="4" borderId="26" xfId="0" applyFont="1" applyFill="1" applyBorder="1" applyAlignment="1">
      <alignment horizontal="center" vertical="center" wrapText="1"/>
    </xf>
    <xf numFmtId="171" fontId="64" fillId="20" borderId="26" xfId="1" applyFont="1" applyFill="1" applyBorder="1" applyAlignment="1">
      <alignment horizontal="center" vertical="center" wrapText="1"/>
    </xf>
    <xf numFmtId="171" fontId="64" fillId="4" borderId="26" xfId="1" applyFont="1" applyFill="1" applyBorder="1" applyAlignment="1">
      <alignment horizontal="center" vertical="center" wrapText="1"/>
    </xf>
    <xf numFmtId="0" fontId="48" fillId="2" borderId="0" xfId="0" applyFont="1" applyFill="1" applyAlignment="1">
      <alignment vertical="center" wrapText="1"/>
    </xf>
    <xf numFmtId="14" fontId="48" fillId="2" borderId="0" xfId="0" applyNumberFormat="1" applyFont="1" applyFill="1" applyAlignment="1">
      <alignment vertical="center" wrapText="1"/>
    </xf>
    <xf numFmtId="175" fontId="48" fillId="2" borderId="2" xfId="0" applyNumberFormat="1" applyFont="1" applyFill="1" applyBorder="1" applyAlignment="1" applyProtection="1">
      <alignment horizontal="center"/>
    </xf>
    <xf numFmtId="171" fontId="48" fillId="0" borderId="1" xfId="2" applyFont="1" applyFill="1" applyBorder="1"/>
    <xf numFmtId="171" fontId="48" fillId="2" borderId="1" xfId="1" applyFont="1" applyFill="1" applyBorder="1"/>
    <xf numFmtId="0" fontId="48" fillId="0" borderId="0" xfId="0" applyFont="1" applyFill="1"/>
    <xf numFmtId="14" fontId="48" fillId="2" borderId="0" xfId="0" applyNumberFormat="1" applyFont="1" applyFill="1"/>
    <xf numFmtId="0" fontId="48" fillId="2" borderId="0" xfId="0" applyNumberFormat="1" applyFont="1" applyFill="1"/>
    <xf numFmtId="0" fontId="65" fillId="4" borderId="1" xfId="0" applyFont="1" applyFill="1" applyBorder="1" applyAlignment="1">
      <alignment horizontal="center" vertical="center" wrapText="1"/>
    </xf>
    <xf numFmtId="10" fontId="64" fillId="20" borderId="1" xfId="14" applyNumberFormat="1" applyFont="1" applyFill="1" applyBorder="1" applyAlignment="1">
      <alignment horizontal="center" vertical="center"/>
    </xf>
    <xf numFmtId="10" fontId="64" fillId="4" borderId="1" xfId="14" applyNumberFormat="1" applyFont="1" applyFill="1" applyBorder="1" applyAlignment="1">
      <alignment horizontal="center" vertical="center"/>
    </xf>
    <xf numFmtId="0" fontId="48" fillId="2" borderId="0" xfId="0" applyFont="1" applyFill="1" applyAlignment="1">
      <alignment vertical="center"/>
    </xf>
    <xf numFmtId="171" fontId="48" fillId="2" borderId="0" xfId="0" applyNumberFormat="1" applyFont="1" applyFill="1"/>
    <xf numFmtId="0" fontId="64" fillId="3" borderId="4" xfId="0" applyFont="1" applyFill="1" applyBorder="1"/>
    <xf numFmtId="171" fontId="64" fillId="3" borderId="5" xfId="1" applyFont="1" applyFill="1" applyBorder="1"/>
    <xf numFmtId="175" fontId="64" fillId="2" borderId="2" xfId="0" applyNumberFormat="1" applyFont="1" applyFill="1" applyBorder="1" applyAlignment="1" applyProtection="1"/>
    <xf numFmtId="171" fontId="48" fillId="0" borderId="5" xfId="1" applyFont="1" applyFill="1" applyBorder="1"/>
    <xf numFmtId="175" fontId="64" fillId="2" borderId="23" xfId="0" applyNumberFormat="1" applyFont="1" applyFill="1" applyBorder="1" applyAlignment="1" applyProtection="1"/>
    <xf numFmtId="171" fontId="48" fillId="2" borderId="5" xfId="1" applyFont="1" applyFill="1" applyBorder="1"/>
    <xf numFmtId="175" fontId="64" fillId="6" borderId="23" xfId="0" applyNumberFormat="1" applyFont="1" applyFill="1" applyBorder="1" applyAlignment="1" applyProtection="1"/>
    <xf numFmtId="171" fontId="64" fillId="6" borderId="5" xfId="1" applyFont="1" applyFill="1" applyBorder="1"/>
    <xf numFmtId="175" fontId="64" fillId="10" borderId="23" xfId="0" applyNumberFormat="1" applyFont="1" applyFill="1" applyBorder="1" applyAlignment="1" applyProtection="1"/>
    <xf numFmtId="171" fontId="64" fillId="10" borderId="5" xfId="1" applyFont="1" applyFill="1" applyBorder="1"/>
    <xf numFmtId="0" fontId="64" fillId="2" borderId="0" xfId="0" applyFont="1" applyFill="1"/>
    <xf numFmtId="0" fontId="64" fillId="2" borderId="0" xfId="0" applyFont="1" applyFill="1" applyAlignment="1">
      <alignment horizontal="left"/>
    </xf>
    <xf numFmtId="0" fontId="64" fillId="2" borderId="3" xfId="0" applyFont="1" applyFill="1" applyBorder="1"/>
    <xf numFmtId="0" fontId="64" fillId="2" borderId="3" xfId="0" applyFont="1" applyFill="1" applyBorder="1" applyAlignment="1">
      <alignment horizontal="left"/>
    </xf>
    <xf numFmtId="17" fontId="64" fillId="2" borderId="3" xfId="0" applyNumberFormat="1" applyFont="1" applyFill="1" applyBorder="1" applyAlignment="1">
      <alignment horizontal="right"/>
    </xf>
    <xf numFmtId="172" fontId="7" fillId="0" borderId="23" xfId="0" applyNumberFormat="1" applyFont="1" applyBorder="1" applyAlignment="1">
      <alignment horizontal="center"/>
    </xf>
    <xf numFmtId="172" fontId="7" fillId="0" borderId="21" xfId="0" applyNumberFormat="1" applyFont="1" applyBorder="1" applyAlignment="1">
      <alignment horizontal="center"/>
    </xf>
    <xf numFmtId="172" fontId="6" fillId="0" borderId="56" xfId="0" applyNumberFormat="1" applyFont="1" applyBorder="1" applyAlignment="1">
      <alignment horizontal="center" vertical="center"/>
    </xf>
    <xf numFmtId="172" fontId="6" fillId="0" borderId="57" xfId="0" applyNumberFormat="1" applyFont="1" applyBorder="1" applyAlignment="1">
      <alignment horizontal="center" vertical="center"/>
    </xf>
    <xf numFmtId="172" fontId="6" fillId="0" borderId="48" xfId="0" applyNumberFormat="1" applyFont="1" applyBorder="1" applyAlignment="1">
      <alignment horizontal="center" vertical="center"/>
    </xf>
    <xf numFmtId="0" fontId="16" fillId="2" borderId="0" xfId="0" applyFont="1" applyFill="1" applyAlignment="1">
      <alignment horizontal="left"/>
    </xf>
    <xf numFmtId="0" fontId="17" fillId="2" borderId="22" xfId="0" applyFont="1" applyFill="1" applyBorder="1" applyAlignment="1">
      <alignment horizontal="left"/>
    </xf>
    <xf numFmtId="172" fontId="7" fillId="0" borderId="23" xfId="0" applyNumberFormat="1" applyFont="1" applyFill="1" applyBorder="1" applyAlignment="1">
      <alignment horizontal="center"/>
    </xf>
    <xf numFmtId="172" fontId="7" fillId="0" borderId="20" xfId="0" applyNumberFormat="1" applyFont="1" applyFill="1" applyBorder="1" applyAlignment="1">
      <alignment horizontal="center"/>
    </xf>
    <xf numFmtId="172" fontId="7" fillId="0" borderId="21" xfId="0" applyNumberFormat="1" applyFont="1" applyFill="1" applyBorder="1" applyAlignment="1">
      <alignment horizontal="center"/>
    </xf>
    <xf numFmtId="15" fontId="43" fillId="0" borderId="42" xfId="0" applyNumberFormat="1" applyFont="1" applyBorder="1" applyAlignment="1">
      <alignment horizontal="center"/>
    </xf>
    <xf numFmtId="15" fontId="43" fillId="0" borderId="80" xfId="0" applyNumberFormat="1" applyFont="1" applyBorder="1" applyAlignment="1">
      <alignment horizontal="center"/>
    </xf>
    <xf numFmtId="0" fontId="43" fillId="0" borderId="42" xfId="0" applyFont="1" applyBorder="1" applyAlignment="1">
      <alignment horizontal="center"/>
    </xf>
    <xf numFmtId="0" fontId="43" fillId="0" borderId="80" xfId="0" applyFont="1" applyBorder="1" applyAlignment="1">
      <alignment horizontal="center"/>
    </xf>
    <xf numFmtId="0" fontId="0" fillId="0" borderId="81" xfId="0" applyBorder="1" applyAlignment="1">
      <alignment horizontal="center"/>
    </xf>
    <xf numFmtId="0" fontId="0" fillId="0" borderId="79" xfId="0" applyBorder="1" applyAlignment="1">
      <alignment horizontal="center"/>
    </xf>
    <xf numFmtId="0" fontId="5" fillId="0" borderId="5" xfId="10" applyBorder="1" applyAlignment="1">
      <alignment horizontal="center"/>
    </xf>
    <xf numFmtId="0" fontId="52" fillId="23" borderId="5" xfId="10" applyFont="1" applyFill="1" applyBorder="1" applyAlignment="1">
      <alignment wrapText="1"/>
    </xf>
    <xf numFmtId="0" fontId="51" fillId="0" borderId="5" xfId="10" applyFont="1" applyFill="1" applyBorder="1" applyAlignment="1">
      <alignment horizontal="left" vertical="center"/>
    </xf>
    <xf numFmtId="184" fontId="37" fillId="0" borderId="5" xfId="2" applyNumberFormat="1" applyFont="1" applyFill="1" applyBorder="1" applyAlignment="1">
      <alignment horizontal="center" vertical="center"/>
    </xf>
    <xf numFmtId="0" fontId="66" fillId="0" borderId="38" xfId="10" applyFont="1" applyBorder="1" applyAlignment="1">
      <alignment horizontal="center" vertical="center" wrapText="1"/>
    </xf>
    <xf numFmtId="0" fontId="66" fillId="0" borderId="49" xfId="10" applyFont="1" applyBorder="1" applyAlignment="1">
      <alignment horizontal="center" vertical="center" wrapText="1"/>
    </xf>
    <xf numFmtId="0" fontId="43" fillId="0" borderId="38" xfId="10" applyFont="1" applyBorder="1" applyAlignment="1">
      <alignment horizontal="center" vertical="center" wrapText="1"/>
    </xf>
    <xf numFmtId="0" fontId="43" fillId="0" borderId="49" xfId="10" applyFont="1" applyBorder="1" applyAlignment="1">
      <alignment horizontal="center" vertical="center" wrapText="1"/>
    </xf>
    <xf numFmtId="0" fontId="43" fillId="0" borderId="4" xfId="10" applyFont="1" applyBorder="1" applyAlignment="1">
      <alignment horizontal="center" vertical="center"/>
    </xf>
    <xf numFmtId="0" fontId="43" fillId="0" borderId="11" xfId="10" applyFont="1" applyBorder="1" applyAlignment="1">
      <alignment horizontal="center" vertical="center"/>
    </xf>
    <xf numFmtId="0" fontId="43" fillId="0" borderId="10" xfId="10" applyFont="1" applyBorder="1" applyAlignment="1">
      <alignment horizontal="center" vertical="center"/>
    </xf>
    <xf numFmtId="15" fontId="37" fillId="10" borderId="5" xfId="10" applyNumberFormat="1" applyFont="1" applyFill="1" applyBorder="1" applyAlignment="1">
      <alignment horizontal="center" vertical="center"/>
    </xf>
    <xf numFmtId="188" fontId="67" fillId="0" borderId="5" xfId="10" applyNumberFormat="1" applyFont="1" applyBorder="1" applyAlignment="1">
      <alignment horizontal="left"/>
    </xf>
    <xf numFmtId="0" fontId="68" fillId="0" borderId="38" xfId="10" applyFont="1" applyBorder="1" applyAlignment="1">
      <alignment horizontal="center" vertical="center" wrapText="1"/>
    </xf>
    <xf numFmtId="0" fontId="68" fillId="0" borderId="49" xfId="10" applyFont="1" applyBorder="1" applyAlignment="1">
      <alignment horizontal="center" vertical="center" wrapText="1"/>
    </xf>
    <xf numFmtId="0" fontId="43" fillId="0" borderId="4" xfId="10" applyFont="1" applyBorder="1" applyAlignment="1">
      <alignment horizontal="center"/>
    </xf>
    <xf numFmtId="0" fontId="43" fillId="0" borderId="11" xfId="10" applyFont="1" applyBorder="1" applyAlignment="1">
      <alignment horizontal="center"/>
    </xf>
    <xf numFmtId="0" fontId="43" fillId="0" borderId="10" xfId="10" applyFont="1" applyBorder="1" applyAlignment="1">
      <alignment horizontal="center"/>
    </xf>
    <xf numFmtId="0" fontId="48" fillId="0" borderId="25" xfId="0" applyFont="1" applyBorder="1" applyAlignment="1">
      <alignment horizontal="center"/>
    </xf>
    <xf numFmtId="171" fontId="44" fillId="0" borderId="69" xfId="2" applyFont="1" applyBorder="1" applyAlignment="1">
      <alignment horizontal="center"/>
    </xf>
    <xf numFmtId="171" fontId="44" fillId="0" borderId="3" xfId="2" applyFont="1" applyBorder="1" applyAlignment="1">
      <alignment horizontal="center"/>
    </xf>
    <xf numFmtId="171" fontId="44" fillId="0" borderId="70" xfId="2" applyFont="1" applyBorder="1" applyAlignment="1">
      <alignment horizontal="center"/>
    </xf>
    <xf numFmtId="0" fontId="44" fillId="0" borderId="67" xfId="0" applyFont="1" applyBorder="1" applyAlignment="1">
      <alignment horizontal="center"/>
    </xf>
    <xf numFmtId="0" fontId="44" fillId="0" borderId="0" xfId="0" applyFont="1" applyBorder="1" applyAlignment="1">
      <alignment horizontal="center"/>
    </xf>
    <xf numFmtId="0" fontId="44" fillId="0" borderId="68" xfId="0" applyFont="1" applyBorder="1" applyAlignment="1">
      <alignment horizontal="center"/>
    </xf>
    <xf numFmtId="0" fontId="43" fillId="0" borderId="56" xfId="0" applyFont="1" applyBorder="1" applyAlignment="1">
      <alignment horizontal="center"/>
    </xf>
    <xf numFmtId="0" fontId="43" fillId="0" borderId="57" xfId="0" applyFont="1" applyBorder="1" applyAlignment="1">
      <alignment horizontal="center"/>
    </xf>
    <xf numFmtId="0" fontId="43" fillId="0" borderId="48" xfId="0" applyFont="1" applyBorder="1" applyAlignment="1">
      <alignment horizontal="center"/>
    </xf>
    <xf numFmtId="15" fontId="43" fillId="0" borderId="56" xfId="0" applyNumberFormat="1" applyFont="1" applyBorder="1" applyAlignment="1">
      <alignment horizontal="center"/>
    </xf>
    <xf numFmtId="15" fontId="43" fillId="0" borderId="57" xfId="0" applyNumberFormat="1" applyFont="1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66" xfId="0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3" fillId="2" borderId="0" xfId="0" applyFont="1" applyFill="1" applyAlignment="1">
      <alignment horizontal="left"/>
    </xf>
    <xf numFmtId="174" fontId="7" fillId="2" borderId="25" xfId="0" applyNumberFormat="1" applyFont="1" applyFill="1" applyBorder="1" applyAlignment="1">
      <alignment horizontal="center"/>
    </xf>
    <xf numFmtId="0" fontId="6" fillId="2" borderId="55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0" fontId="7" fillId="2" borderId="10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3" xfId="0" applyFont="1" applyFill="1" applyBorder="1" applyAlignment="1">
      <alignment horizontal="left"/>
    </xf>
    <xf numFmtId="0" fontId="7" fillId="2" borderId="25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26" fillId="17" borderId="83" xfId="0" applyFont="1" applyFill="1" applyBorder="1" applyAlignment="1">
      <alignment horizontal="center" vertical="center" wrapText="1"/>
    </xf>
    <xf numFmtId="0" fontId="26" fillId="17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left"/>
    </xf>
    <xf numFmtId="0" fontId="7" fillId="2" borderId="82" xfId="0" applyFont="1" applyFill="1" applyBorder="1" applyAlignment="1">
      <alignment horizontal="center"/>
    </xf>
    <xf numFmtId="0" fontId="6" fillId="10" borderId="55" xfId="0" applyFont="1" applyFill="1" applyBorder="1" applyAlignment="1">
      <alignment horizontal="left"/>
    </xf>
    <xf numFmtId="0" fontId="9" fillId="2" borderId="11" xfId="2" applyNumberFormat="1" applyFont="1" applyFill="1" applyBorder="1" applyAlignment="1">
      <alignment horizontal="left"/>
    </xf>
    <xf numFmtId="0" fontId="27" fillId="2" borderId="11" xfId="0" applyFont="1" applyFill="1" applyBorder="1" applyAlignment="1">
      <alignment horizontal="left"/>
    </xf>
    <xf numFmtId="0" fontId="27" fillId="2" borderId="10" xfId="0" applyFont="1" applyFill="1" applyBorder="1" applyAlignment="1">
      <alignment horizontal="left"/>
    </xf>
    <xf numFmtId="0" fontId="6" fillId="0" borderId="55" xfId="0" applyFont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7" fillId="2" borderId="8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left"/>
    </xf>
    <xf numFmtId="0" fontId="27" fillId="2" borderId="42" xfId="0" applyFont="1" applyFill="1" applyBorder="1" applyAlignment="1">
      <alignment horizontal="left"/>
    </xf>
    <xf numFmtId="0" fontId="9" fillId="2" borderId="84" xfId="2" applyNumberFormat="1" applyFont="1" applyFill="1" applyBorder="1" applyAlignment="1">
      <alignment horizontal="left"/>
    </xf>
    <xf numFmtId="0" fontId="9" fillId="2" borderId="85" xfId="2" applyNumberFormat="1" applyFont="1" applyFill="1" applyBorder="1" applyAlignment="1">
      <alignment horizontal="left"/>
    </xf>
    <xf numFmtId="0" fontId="7" fillId="2" borderId="55" xfId="0" applyFont="1" applyFill="1" applyBorder="1" applyAlignment="1">
      <alignment horizontal="center"/>
    </xf>
    <xf numFmtId="171" fontId="6" fillId="4" borderId="17" xfId="1" applyFont="1" applyFill="1" applyBorder="1" applyAlignment="1">
      <alignment horizontal="center" vertical="center" wrapText="1"/>
    </xf>
    <xf numFmtId="171" fontId="6" fillId="4" borderId="1" xfId="1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87" xfId="0" applyFont="1" applyFill="1" applyBorder="1" applyAlignment="1">
      <alignment horizontal="center" vertical="center" wrapText="1"/>
    </xf>
    <xf numFmtId="0" fontId="6" fillId="4" borderId="88" xfId="0" applyFont="1" applyFill="1" applyBorder="1" applyAlignment="1">
      <alignment horizontal="center" vertical="center" wrapText="1"/>
    </xf>
    <xf numFmtId="0" fontId="6" fillId="20" borderId="83" xfId="0" applyFont="1" applyFill="1" applyBorder="1" applyAlignment="1">
      <alignment horizontal="center" wrapText="1"/>
    </xf>
    <xf numFmtId="0" fontId="6" fillId="20" borderId="1" xfId="0" applyFont="1" applyFill="1" applyBorder="1" applyAlignment="1">
      <alignment horizontal="center" wrapText="1"/>
    </xf>
    <xf numFmtId="0" fontId="6" fillId="4" borderId="38" xfId="0" applyFont="1" applyFill="1" applyBorder="1" applyAlignment="1">
      <alignment horizontal="center" vertical="center" wrapText="1"/>
    </xf>
    <xf numFmtId="0" fontId="6" fillId="4" borderId="39" xfId="0" applyFont="1" applyFill="1" applyBorder="1" applyAlignment="1">
      <alignment horizontal="center" vertical="center" wrapText="1"/>
    </xf>
    <xf numFmtId="10" fontId="7" fillId="10" borderId="86" xfId="14" applyNumberFormat="1" applyFont="1" applyFill="1" applyBorder="1" applyAlignment="1">
      <alignment horizontal="center"/>
    </xf>
    <xf numFmtId="10" fontId="7" fillId="10" borderId="21" xfId="14" applyNumberFormat="1" applyFont="1" applyFill="1" applyBorder="1" applyAlignment="1">
      <alignment horizontal="center"/>
    </xf>
    <xf numFmtId="0" fontId="9" fillId="2" borderId="11" xfId="1" applyNumberFormat="1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64" fillId="2" borderId="55" xfId="0" applyFont="1" applyFill="1" applyBorder="1" applyAlignment="1">
      <alignment horizontal="left"/>
    </xf>
    <xf numFmtId="0" fontId="48" fillId="2" borderId="1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2" borderId="89" xfId="0" applyFont="1" applyFill="1" applyBorder="1" applyAlignment="1">
      <alignment horizontal="center"/>
    </xf>
    <xf numFmtId="0" fontId="28" fillId="2" borderId="0" xfId="0" applyFont="1" applyFill="1" applyAlignment="1">
      <alignment horizontal="center"/>
    </xf>
    <xf numFmtId="0" fontId="34" fillId="2" borderId="55" xfId="0" applyFont="1" applyFill="1" applyBorder="1" applyAlignment="1">
      <alignment horizontal="left"/>
    </xf>
    <xf numFmtId="0" fontId="28" fillId="2" borderId="14" xfId="0" applyFont="1" applyFill="1" applyBorder="1" applyAlignment="1">
      <alignment horizontal="center"/>
    </xf>
    <xf numFmtId="0" fontId="28" fillId="2" borderId="89" xfId="0" applyFont="1" applyFill="1" applyBorder="1" applyAlignment="1">
      <alignment horizontal="center"/>
    </xf>
    <xf numFmtId="172" fontId="7" fillId="8" borderId="23" xfId="0" applyNumberFormat="1" applyFont="1" applyFill="1" applyBorder="1" applyAlignment="1" applyProtection="1">
      <alignment horizontal="center"/>
    </xf>
    <xf numFmtId="172" fontId="7" fillId="8" borderId="20" xfId="0" applyNumberFormat="1" applyFont="1" applyFill="1" applyBorder="1" applyAlignment="1" applyProtection="1">
      <alignment horizontal="center"/>
    </xf>
    <xf numFmtId="172" fontId="7" fillId="8" borderId="21" xfId="0" applyNumberFormat="1" applyFont="1" applyFill="1" applyBorder="1" applyAlignment="1" applyProtection="1">
      <alignment horizontal="center"/>
    </xf>
    <xf numFmtId="172" fontId="7" fillId="0" borderId="23" xfId="0" applyNumberFormat="1" applyFont="1" applyBorder="1" applyAlignment="1" applyProtection="1">
      <alignment horizontal="center"/>
    </xf>
    <xf numFmtId="172" fontId="7" fillId="0" borderId="21" xfId="0" applyNumberFormat="1" applyFont="1" applyBorder="1" applyAlignment="1" applyProtection="1">
      <alignment horizontal="center"/>
    </xf>
    <xf numFmtId="172" fontId="12" fillId="0" borderId="23" xfId="0" applyNumberFormat="1" applyFont="1" applyBorder="1" applyAlignment="1" applyProtection="1">
      <alignment horizontal="center"/>
    </xf>
    <xf numFmtId="172" fontId="12" fillId="0" borderId="21" xfId="0" applyNumberFormat="1" applyFont="1" applyBorder="1" applyAlignment="1" applyProtection="1">
      <alignment horizontal="center"/>
    </xf>
    <xf numFmtId="172" fontId="6" fillId="0" borderId="56" xfId="0" applyNumberFormat="1" applyFont="1" applyFill="1" applyBorder="1" applyAlignment="1" applyProtection="1">
      <alignment horizontal="center" vertical="center"/>
    </xf>
    <xf numFmtId="172" fontId="6" fillId="0" borderId="57" xfId="0" applyNumberFormat="1" applyFont="1" applyFill="1" applyBorder="1" applyAlignment="1" applyProtection="1">
      <alignment horizontal="center" vertical="center"/>
    </xf>
    <xf numFmtId="172" fontId="6" fillId="0" borderId="48" xfId="0" applyNumberFormat="1" applyFont="1" applyFill="1" applyBorder="1" applyAlignment="1" applyProtection="1">
      <alignment horizontal="center" vertical="center"/>
    </xf>
    <xf numFmtId="171" fontId="6" fillId="4" borderId="91" xfId="2" applyFont="1" applyFill="1" applyBorder="1" applyAlignment="1">
      <alignment horizontal="center" vertical="center" wrapText="1"/>
    </xf>
    <xf numFmtId="171" fontId="6" fillId="4" borderId="6" xfId="2" applyFont="1" applyFill="1" applyBorder="1" applyAlignment="1">
      <alignment horizontal="center" vertical="center" wrapText="1"/>
    </xf>
    <xf numFmtId="171" fontId="6" fillId="4" borderId="17" xfId="2" applyFont="1" applyFill="1" applyBorder="1" applyAlignment="1">
      <alignment horizontal="center" vertical="center" wrapText="1"/>
    </xf>
    <xf numFmtId="171" fontId="6" fillId="4" borderId="1" xfId="2" applyFont="1" applyFill="1" applyBorder="1" applyAlignment="1">
      <alignment horizontal="center" vertical="center" wrapText="1"/>
    </xf>
    <xf numFmtId="171" fontId="6" fillId="4" borderId="90" xfId="2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84" fontId="6" fillId="4" borderId="17" xfId="2" applyNumberFormat="1" applyFont="1" applyFill="1" applyBorder="1" applyAlignment="1">
      <alignment horizontal="center" vertical="center" wrapText="1"/>
    </xf>
    <xf numFmtId="184" fontId="6" fillId="4" borderId="1" xfId="2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</cellXfs>
  <cellStyles count="16">
    <cellStyle name="Comma" xfId="1" builtinId="3"/>
    <cellStyle name="Comma 2" xfId="2" xr:uid="{2BBA6017-9151-48CE-9496-0FC79C383B8F}"/>
    <cellStyle name="Comma 2 2" xfId="3" xr:uid="{E1B173E1-2AC2-487D-9416-B18BFB7F46C8}"/>
    <cellStyle name="Comma 3" xfId="4" xr:uid="{82B94E14-964F-4C06-B1FC-3E99EDA9E3B5}"/>
    <cellStyle name="Comma 3 2" xfId="5" xr:uid="{C8089B4C-FA28-4D2A-9CA1-87BB103E28BD}"/>
    <cellStyle name="Comma 4" xfId="6" xr:uid="{1B6ED6B5-053A-4C02-A059-CB63A2513649}"/>
    <cellStyle name="Currency" xfId="7" builtinId="4"/>
    <cellStyle name="Currency 2" xfId="8" xr:uid="{D0F2D69A-FC68-4F4F-8848-E1CDFC300B59}"/>
    <cellStyle name="Hyperlink" xfId="9" builtinId="8"/>
    <cellStyle name="Normal" xfId="0" builtinId="0"/>
    <cellStyle name="Normal 2" xfId="10" xr:uid="{97D7E55F-0CAD-4E42-8D08-757D4987B0F4}"/>
    <cellStyle name="Normal 2 2" xfId="11" xr:uid="{18260835-39D3-472F-9196-F51C4D984E18}"/>
    <cellStyle name="Normal 3" xfId="12" xr:uid="{3AFD7A7A-C6C0-40DD-8CBA-8200AEA89D99}"/>
    <cellStyle name="Normal 4" xfId="13" xr:uid="{8378C8CB-8234-467A-8D03-09C01135269E}"/>
    <cellStyle name="Percent" xfId="14" builtinId="5"/>
    <cellStyle name="Percent 2" xfId="15" xr:uid="{E5971F3B-791F-457B-AF03-D163AEF0B91C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Bank%20Balances/MAY%202026%20NEL.xlsx" TargetMode="External"/><Relationship Id="rId1" Type="http://schemas.openxmlformats.org/officeDocument/2006/relationships/externalLinkPath" Target="/2025-2026/Nimir%20Energy%20Limited/Bank%20Balances/MAY%202026%20N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NEL%20Financial%20Cost%20As%20of%2031.05.2026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Bank%20Balances/JUNE%202026%20NEL.xlsx" TargetMode="External"/><Relationship Id="rId1" Type="http://schemas.openxmlformats.org/officeDocument/2006/relationships/externalLinkPath" Target="/2025-2026/Nimir%20Energy%20Limited/Bank%20Balances/JUNE%202026%20N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04 May"/>
      <sheetName val="05 May"/>
      <sheetName val="06 May"/>
      <sheetName val="07 May"/>
      <sheetName val="08 May"/>
      <sheetName val="11 May"/>
      <sheetName val="12 May"/>
      <sheetName val="13 May"/>
      <sheetName val="14 May"/>
      <sheetName val="15 May"/>
      <sheetName val="18 May"/>
      <sheetName val="19 May"/>
      <sheetName val="20 May"/>
      <sheetName val="21 May"/>
      <sheetName val="22 May"/>
      <sheetName val="25 May"/>
      <sheetName val="29 Ma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7">
          <cell r="H17">
            <v>-123350721.47000001</v>
          </cell>
        </row>
        <row r="18">
          <cell r="H18">
            <v>-47789154.670000002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UCHER "/>
      <sheetName val="FINANCIAL COST SUMMARY "/>
      <sheetName val="USANCE LC SHEET (2025)"/>
      <sheetName val="FINANCIAL SUMMARY"/>
      <sheetName val="INFLOW-OUTFLOW SUMMARY"/>
      <sheetName val="BORROWING SUMMARY "/>
      <sheetName val="MCB-FATR "/>
      <sheetName val="MCB-RF "/>
      <sheetName val="SONERI-FATR"/>
      <sheetName val="SONERI-RF"/>
      <sheetName val="BOP-RF"/>
      <sheetName val="BOP-FATR"/>
      <sheetName val="ASKARI-FATR"/>
      <sheetName val="NBP-Musawammah"/>
      <sheetName val="HBL-FATR"/>
      <sheetName val="HBL-RF"/>
      <sheetName val="PICL-LT"/>
      <sheetName val="FINANCIAL COST SUMMARY"/>
      <sheetName val="VOUCHER"/>
      <sheetName val="ALFALAH-FE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7">
          <cell r="J47">
            <v>2665657.6139839608</v>
          </cell>
        </row>
      </sheetData>
      <sheetData sheetId="8">
        <row r="87">
          <cell r="B87">
            <v>1467684.9170844334</v>
          </cell>
        </row>
      </sheetData>
      <sheetData sheetId="9">
        <row r="47">
          <cell r="J47">
            <v>695474.18626669422</v>
          </cell>
        </row>
      </sheetData>
      <sheetData sheetId="10">
        <row r="47">
          <cell r="J47">
            <v>722734.2303386298</v>
          </cell>
        </row>
      </sheetData>
      <sheetData sheetId="11"/>
      <sheetData sheetId="12">
        <row r="87">
          <cell r="B87">
            <v>1371966.2974140418</v>
          </cell>
          <cell r="C87">
            <v>1803127.5348263029</v>
          </cell>
          <cell r="D87">
            <v>1553692.4150044927</v>
          </cell>
          <cell r="E87">
            <v>1695973.6220753428</v>
          </cell>
        </row>
      </sheetData>
      <sheetData sheetId="13">
        <row r="87">
          <cell r="B87">
            <v>425630.68493150681</v>
          </cell>
        </row>
      </sheetData>
      <sheetData sheetId="14"/>
      <sheetData sheetId="15">
        <row r="47">
          <cell r="J47">
            <v>968096.47953439888</v>
          </cell>
        </row>
      </sheetData>
      <sheetData sheetId="16">
        <row r="47">
          <cell r="J47">
            <v>1374383.9070326025</v>
          </cell>
        </row>
      </sheetData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02 June"/>
      <sheetName val="03 June"/>
      <sheetName val="04 June"/>
      <sheetName val="05 June"/>
      <sheetName val="08 June"/>
      <sheetName val="09 June"/>
      <sheetName val="10 June"/>
      <sheetName val="11 June"/>
      <sheetName val="12 June"/>
      <sheetName val="15 June"/>
      <sheetName val="16 June"/>
      <sheetName val="17 June"/>
      <sheetName val="18 June"/>
      <sheetName val="19 June"/>
      <sheetName val="20 June"/>
      <sheetName val="22 June"/>
      <sheetName val="23 June"/>
      <sheetName val="24 June"/>
      <sheetName val="29 June"/>
    </sheetNames>
    <sheetDataSet>
      <sheetData sheetId="0">
        <row r="15">
          <cell r="H15">
            <v>-49822784</v>
          </cell>
        </row>
        <row r="16">
          <cell r="H16">
            <v>-48583340.869999997</v>
          </cell>
        </row>
        <row r="17">
          <cell r="H17">
            <v>-123350756.27000001</v>
          </cell>
        </row>
        <row r="18">
          <cell r="H18">
            <v>-21289154.670000002</v>
          </cell>
        </row>
      </sheetData>
      <sheetData sheetId="1">
        <row r="15">
          <cell r="H15">
            <v>-49822784</v>
          </cell>
        </row>
        <row r="16">
          <cell r="H16">
            <v>-48583340.869999997</v>
          </cell>
        </row>
        <row r="17">
          <cell r="H17">
            <v>-123792556.20000002</v>
          </cell>
        </row>
        <row r="18">
          <cell r="H18">
            <v>-8489154.6700000018</v>
          </cell>
        </row>
      </sheetData>
      <sheetData sheetId="2">
        <row r="15">
          <cell r="H15">
            <v>-49822784</v>
          </cell>
        </row>
        <row r="16">
          <cell r="H16">
            <v>-48583340.869999997</v>
          </cell>
        </row>
        <row r="17">
          <cell r="H17">
            <v>-123793859.00000001</v>
          </cell>
        </row>
        <row r="18">
          <cell r="H18">
            <v>-3489154.6700000018</v>
          </cell>
        </row>
      </sheetData>
      <sheetData sheetId="3">
        <row r="15">
          <cell r="H15">
            <v>-49822784</v>
          </cell>
        </row>
        <row r="16">
          <cell r="H16">
            <v>-48583340.869999997</v>
          </cell>
        </row>
        <row r="17">
          <cell r="H17">
            <v>-123793893.80000001</v>
          </cell>
        </row>
        <row r="18">
          <cell r="H18">
            <v>-4542467.6700000018</v>
          </cell>
        </row>
      </sheetData>
      <sheetData sheetId="4">
        <row r="15">
          <cell r="H15">
            <v>-49822784</v>
          </cell>
        </row>
        <row r="16">
          <cell r="H16">
            <v>-48583340.869999997</v>
          </cell>
        </row>
        <row r="17">
          <cell r="H17">
            <v>-94793928.600000024</v>
          </cell>
        </row>
        <row r="18">
          <cell r="H18">
            <v>-142467.67000000179</v>
          </cell>
        </row>
      </sheetData>
      <sheetData sheetId="5">
        <row r="15">
          <cell r="H15">
            <v>-49822784</v>
          </cell>
        </row>
        <row r="16">
          <cell r="H16">
            <v>-48583340.869999997</v>
          </cell>
        </row>
        <row r="17">
          <cell r="H17">
            <v>-87993963.400000021</v>
          </cell>
        </row>
        <row r="18">
          <cell r="H18">
            <v>-165224.67000000179</v>
          </cell>
        </row>
      </sheetData>
      <sheetData sheetId="6">
        <row r="15">
          <cell r="H15">
            <v>-49822784</v>
          </cell>
        </row>
        <row r="16">
          <cell r="H16">
            <v>-48583340.869999997</v>
          </cell>
        </row>
        <row r="17">
          <cell r="H17">
            <v>-84993998.200000018</v>
          </cell>
        </row>
        <row r="18">
          <cell r="H18">
            <v>-6289216.6700000018</v>
          </cell>
        </row>
      </sheetData>
      <sheetData sheetId="7">
        <row r="15">
          <cell r="H15">
            <v>-49822784</v>
          </cell>
        </row>
        <row r="16">
          <cell r="H16">
            <v>-48583340.869999997</v>
          </cell>
        </row>
        <row r="17">
          <cell r="H17">
            <v>-124994033.00000001</v>
          </cell>
        </row>
        <row r="18">
          <cell r="H18">
            <v>42432484.329999998</v>
          </cell>
        </row>
      </sheetData>
      <sheetData sheetId="8">
        <row r="15">
          <cell r="H15">
            <v>-49822784</v>
          </cell>
        </row>
        <row r="16">
          <cell r="H16">
            <v>-48583340.869999997</v>
          </cell>
        </row>
        <row r="17">
          <cell r="H17">
            <v>-124994067.80000001</v>
          </cell>
        </row>
      </sheetData>
      <sheetData sheetId="9"/>
      <sheetData sheetId="10"/>
      <sheetData sheetId="11"/>
      <sheetData sheetId="12"/>
      <sheetData sheetId="13"/>
      <sheetData sheetId="14">
        <row r="15">
          <cell r="H15">
            <v>-49822784</v>
          </cell>
        </row>
        <row r="17">
          <cell r="H17">
            <v>-57504681.799999997</v>
          </cell>
        </row>
        <row r="18">
          <cell r="H18">
            <v>-27948732.670000002</v>
          </cell>
        </row>
      </sheetData>
      <sheetData sheetId="15">
        <row r="17">
          <cell r="H17">
            <v>-57000567.599999994</v>
          </cell>
        </row>
        <row r="18">
          <cell r="H18">
            <v>-46148935.670000002</v>
          </cell>
        </row>
      </sheetData>
      <sheetData sheetId="16">
        <row r="7">
          <cell r="H7">
            <v>16552</v>
          </cell>
        </row>
        <row r="13">
          <cell r="H13">
            <v>261676.50999999791</v>
          </cell>
        </row>
        <row r="17">
          <cell r="H17">
            <v>499397.60000000894</v>
          </cell>
        </row>
      </sheetData>
      <sheetData sheetId="17"/>
      <sheetData sheetId="18">
        <row r="6">
          <cell r="H6">
            <v>1360935.25</v>
          </cell>
        </row>
        <row r="10">
          <cell r="H10">
            <v>11764009.93</v>
          </cell>
        </row>
        <row r="12">
          <cell r="H12">
            <v>14722.029999999329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62E36-3AED-44B2-B862-C584FDE80FB8}">
  <sheetPr transitionEvaluation="1" codeName="Sheet1">
    <pageSetUpPr fitToPage="1"/>
  </sheetPr>
  <dimension ref="A1:F33"/>
  <sheetViews>
    <sheetView showGridLines="0" defaultGridColor="0" colorId="22" zoomScale="90" workbookViewId="0">
      <selection activeCell="E16" sqref="E16"/>
    </sheetView>
  </sheetViews>
  <sheetFormatPr defaultColWidth="10.6328125" defaultRowHeight="13.8" x14ac:dyDescent="0.3"/>
  <cols>
    <col min="1" max="1" width="5.6328125" style="232" customWidth="1"/>
    <col min="2" max="2" width="4.90625" style="232" customWidth="1"/>
    <col min="3" max="3" width="26.81640625" style="232" customWidth="1"/>
    <col min="4" max="6" width="12" style="232" customWidth="1"/>
    <col min="7" max="7" width="5.6328125" style="232" customWidth="1"/>
    <col min="8" max="16384" width="10.6328125" style="232"/>
  </cols>
  <sheetData>
    <row r="1" spans="1:6" ht="18" x14ac:dyDescent="0.35">
      <c r="A1" s="276" t="s">
        <v>195</v>
      </c>
      <c r="B1" s="277"/>
      <c r="C1" s="277"/>
      <c r="D1" s="278"/>
      <c r="E1" s="277"/>
      <c r="F1" s="277"/>
    </row>
    <row r="2" spans="1:6" x14ac:dyDescent="0.3">
      <c r="A2" s="279"/>
      <c r="B2" s="280"/>
      <c r="C2" s="280"/>
      <c r="D2" s="280"/>
      <c r="E2" s="281" t="s">
        <v>14</v>
      </c>
      <c r="F2" s="282"/>
    </row>
    <row r="3" spans="1:6" x14ac:dyDescent="0.3">
      <c r="A3" s="283"/>
      <c r="B3" s="270"/>
      <c r="C3" s="270"/>
      <c r="D3" s="270"/>
      <c r="E3" s="284" t="s">
        <v>2</v>
      </c>
      <c r="F3" s="285"/>
    </row>
    <row r="4" spans="1:6" x14ac:dyDescent="0.3">
      <c r="A4" s="286"/>
      <c r="B4" s="287" t="s">
        <v>3</v>
      </c>
      <c r="C4" s="288"/>
      <c r="D4" s="288"/>
      <c r="E4" s="284" t="s">
        <v>17</v>
      </c>
      <c r="F4" s="282"/>
    </row>
    <row r="5" spans="1:6" x14ac:dyDescent="0.3">
      <c r="A5" s="283"/>
      <c r="B5" s="270"/>
      <c r="C5" s="270"/>
      <c r="D5" s="270"/>
      <c r="E5" s="284" t="s">
        <v>4</v>
      </c>
      <c r="F5" s="289" t="s">
        <v>262</v>
      </c>
    </row>
    <row r="6" spans="1:6" x14ac:dyDescent="0.3">
      <c r="A6" s="286"/>
      <c r="B6" s="290"/>
      <c r="C6" s="290"/>
      <c r="D6" s="290"/>
      <c r="E6" s="270"/>
      <c r="F6" s="291"/>
    </row>
    <row r="7" spans="1:6" x14ac:dyDescent="0.3">
      <c r="A7" s="292" t="s">
        <v>5</v>
      </c>
      <c r="B7" s="293" t="s">
        <v>6</v>
      </c>
      <c r="C7" s="294"/>
      <c r="D7" s="295" t="s">
        <v>15</v>
      </c>
      <c r="E7" s="296" t="s">
        <v>7</v>
      </c>
      <c r="F7" s="296" t="s">
        <v>8</v>
      </c>
    </row>
    <row r="8" spans="1:6" x14ac:dyDescent="0.3">
      <c r="A8" s="297" t="s">
        <v>9</v>
      </c>
      <c r="B8" s="298"/>
      <c r="C8" s="299"/>
      <c r="D8" s="300" t="s">
        <v>16</v>
      </c>
      <c r="E8" s="301" t="s">
        <v>10</v>
      </c>
      <c r="F8" s="301" t="s">
        <v>10</v>
      </c>
    </row>
    <row r="9" spans="1:6" x14ac:dyDescent="0.3">
      <c r="A9" s="302"/>
      <c r="B9" s="304"/>
      <c r="C9" s="304"/>
      <c r="D9" s="302"/>
      <c r="E9" s="303"/>
      <c r="F9" s="303"/>
    </row>
    <row r="10" spans="1:6" x14ac:dyDescent="0.3">
      <c r="A10" s="302">
        <v>1</v>
      </c>
      <c r="B10" s="686" t="s">
        <v>181</v>
      </c>
      <c r="C10" s="687"/>
      <c r="D10" s="302"/>
      <c r="E10" s="387">
        <f>'FINANCIAL COST SUMMARY '!F6</f>
        <v>1241831.2328952462</v>
      </c>
      <c r="F10" s="388"/>
    </row>
    <row r="11" spans="1:6" x14ac:dyDescent="0.3">
      <c r="A11" s="302">
        <v>2</v>
      </c>
      <c r="B11" s="686" t="str">
        <f>B10</f>
        <v>MCB-FATR</v>
      </c>
      <c r="C11" s="687"/>
      <c r="D11" s="302"/>
      <c r="E11" s="388"/>
      <c r="F11" s="388">
        <f>E10</f>
        <v>1241831.2328952462</v>
      </c>
    </row>
    <row r="12" spans="1:6" x14ac:dyDescent="0.3">
      <c r="A12" s="302"/>
      <c r="B12" s="305"/>
      <c r="C12" s="305"/>
      <c r="D12" s="302"/>
      <c r="E12" s="388"/>
      <c r="F12" s="388"/>
    </row>
    <row r="13" spans="1:6" x14ac:dyDescent="0.3">
      <c r="A13" s="302">
        <v>3</v>
      </c>
      <c r="B13" s="686" t="s">
        <v>182</v>
      </c>
      <c r="C13" s="687"/>
      <c r="D13" s="302"/>
      <c r="E13" s="387">
        <f>'FINANCIAL COST SUMMARY '!F7</f>
        <v>811689.67584100249</v>
      </c>
      <c r="F13" s="388"/>
    </row>
    <row r="14" spans="1:6" x14ac:dyDescent="0.3">
      <c r="A14" s="302">
        <v>4</v>
      </c>
      <c r="B14" s="686" t="str">
        <f>B13</f>
        <v>MCB-RF</v>
      </c>
      <c r="C14" s="687"/>
      <c r="D14" s="302"/>
      <c r="E14" s="388"/>
      <c r="F14" s="388">
        <f>E13</f>
        <v>811689.67584100249</v>
      </c>
    </row>
    <row r="15" spans="1:6" x14ac:dyDescent="0.3">
      <c r="A15" s="302"/>
      <c r="B15" s="304"/>
      <c r="C15" s="304"/>
      <c r="D15" s="302"/>
      <c r="E15" s="388"/>
      <c r="F15" s="388"/>
    </row>
    <row r="16" spans="1:6" x14ac:dyDescent="0.3">
      <c r="A16" s="302">
        <v>5</v>
      </c>
      <c r="B16" s="686" t="s">
        <v>207</v>
      </c>
      <c r="C16" s="687"/>
      <c r="D16" s="302"/>
      <c r="E16" s="388">
        <f>'FINANCIAL COST SUMMARY '!E8</f>
        <v>161038.47604753973</v>
      </c>
      <c r="F16" s="388"/>
    </row>
    <row r="17" spans="1:6" x14ac:dyDescent="0.3">
      <c r="A17" s="302">
        <f>+A16+1</f>
        <v>6</v>
      </c>
      <c r="B17" s="686" t="s">
        <v>207</v>
      </c>
      <c r="C17" s="687"/>
      <c r="D17" s="302"/>
      <c r="E17" s="388"/>
      <c r="F17" s="388">
        <f>+E16</f>
        <v>161038.47604753973</v>
      </c>
    </row>
    <row r="18" spans="1:6" x14ac:dyDescent="0.3">
      <c r="A18" s="302"/>
      <c r="B18" s="304"/>
      <c r="C18" s="304"/>
      <c r="D18" s="302"/>
      <c r="E18" s="388"/>
      <c r="F18" s="388"/>
    </row>
    <row r="19" spans="1:6" x14ac:dyDescent="0.3">
      <c r="A19" s="302">
        <v>7</v>
      </c>
      <c r="B19" s="686" t="s">
        <v>208</v>
      </c>
      <c r="C19" s="687"/>
      <c r="D19" s="302"/>
      <c r="E19" s="389">
        <f>'FINANCIAL COST SUMMARY '!E9</f>
        <v>362669.20467435621</v>
      </c>
      <c r="F19" s="389"/>
    </row>
    <row r="20" spans="1:6" x14ac:dyDescent="0.3">
      <c r="A20" s="302">
        <v>8</v>
      </c>
      <c r="B20" s="686" t="s">
        <v>208</v>
      </c>
      <c r="C20" s="687"/>
      <c r="D20" s="302"/>
      <c r="E20" s="389"/>
      <c r="F20" s="389">
        <f>+E19</f>
        <v>362669.20467435621</v>
      </c>
    </row>
    <row r="21" spans="1:6" x14ac:dyDescent="0.3">
      <c r="A21" s="302"/>
      <c r="B21" s="686"/>
      <c r="C21" s="687"/>
      <c r="D21" s="302"/>
      <c r="E21" s="389"/>
      <c r="F21" s="389"/>
    </row>
    <row r="22" spans="1:6" x14ac:dyDescent="0.3">
      <c r="A22" s="302">
        <v>5</v>
      </c>
      <c r="B22" s="686" t="s">
        <v>209</v>
      </c>
      <c r="C22" s="687"/>
      <c r="D22" s="302"/>
      <c r="E22" s="389">
        <f>'FINANCIAL COST SUMMARY '!E12</f>
        <v>466799.38748243859</v>
      </c>
      <c r="F22" s="389"/>
    </row>
    <row r="23" spans="1:6" x14ac:dyDescent="0.3">
      <c r="A23" s="302">
        <f>+A22+1</f>
        <v>6</v>
      </c>
      <c r="B23" s="686" t="s">
        <v>209</v>
      </c>
      <c r="C23" s="687"/>
      <c r="D23" s="302"/>
      <c r="E23" s="389"/>
      <c r="F23" s="389">
        <f>+E22</f>
        <v>466799.38748243859</v>
      </c>
    </row>
    <row r="24" spans="1:6" x14ac:dyDescent="0.3">
      <c r="A24" s="302"/>
      <c r="B24" s="686"/>
      <c r="C24" s="687"/>
      <c r="D24" s="302"/>
      <c r="E24" s="389"/>
      <c r="F24" s="389"/>
    </row>
    <row r="25" spans="1:6" x14ac:dyDescent="0.3">
      <c r="A25" s="302">
        <v>7</v>
      </c>
      <c r="B25" s="686" t="s">
        <v>210</v>
      </c>
      <c r="C25" s="687"/>
      <c r="D25" s="302"/>
      <c r="E25" s="389">
        <f>'FINANCIAL COST SUMMARY '!E13</f>
        <v>0</v>
      </c>
      <c r="F25" s="389"/>
    </row>
    <row r="26" spans="1:6" ht="14.4" thickBot="1" x14ac:dyDescent="0.35">
      <c r="A26" s="302">
        <v>8</v>
      </c>
      <c r="B26" s="686" t="s">
        <v>210</v>
      </c>
      <c r="C26" s="687"/>
      <c r="D26" s="302"/>
      <c r="E26" s="389"/>
      <c r="F26" s="389">
        <f>+E25</f>
        <v>0</v>
      </c>
    </row>
    <row r="27" spans="1:6" ht="36" customHeight="1" thickBot="1" x14ac:dyDescent="0.35">
      <c r="A27" s="688" t="s">
        <v>263</v>
      </c>
      <c r="B27" s="689"/>
      <c r="C27" s="689"/>
      <c r="D27" s="690"/>
      <c r="E27" s="306">
        <f>SUM(E9:E26)</f>
        <v>3044027.9769405834</v>
      </c>
      <c r="F27" s="306">
        <f>SUM(F9:F26)</f>
        <v>3044027.9769405834</v>
      </c>
    </row>
    <row r="28" spans="1:6" x14ac:dyDescent="0.3">
      <c r="A28" s="277"/>
      <c r="B28" s="277"/>
      <c r="C28" s="277"/>
      <c r="D28" s="277"/>
      <c r="E28" s="277"/>
      <c r="F28" s="277"/>
    </row>
    <row r="29" spans="1:6" ht="15.6" x14ac:dyDescent="0.3">
      <c r="A29" s="307"/>
      <c r="B29" s="308"/>
      <c r="C29" s="308"/>
      <c r="D29" s="308"/>
      <c r="E29" s="308"/>
      <c r="F29" s="308"/>
    </row>
    <row r="30" spans="1:6" x14ac:dyDescent="0.3">
      <c r="A30" s="277"/>
      <c r="B30" s="277"/>
      <c r="C30" s="277"/>
      <c r="D30" s="277"/>
      <c r="E30" s="277"/>
      <c r="F30" s="277"/>
    </row>
    <row r="31" spans="1:6" x14ac:dyDescent="0.3">
      <c r="A31" s="277"/>
      <c r="B31" s="277"/>
      <c r="C31" s="277"/>
      <c r="D31" s="277"/>
      <c r="E31" s="277"/>
      <c r="F31" s="277"/>
    </row>
    <row r="32" spans="1:6" x14ac:dyDescent="0.3">
      <c r="A32" s="277"/>
      <c r="B32" s="277"/>
      <c r="C32" s="277"/>
      <c r="D32" s="277"/>
      <c r="E32" s="309"/>
      <c r="F32" s="277"/>
    </row>
    <row r="33" spans="1:6" ht="16.2" customHeight="1" x14ac:dyDescent="0.3">
      <c r="A33" s="277"/>
      <c r="B33" s="277"/>
      <c r="C33" s="277"/>
      <c r="D33" s="277"/>
      <c r="E33" s="309"/>
      <c r="F33" s="277"/>
    </row>
  </sheetData>
  <mergeCells count="15">
    <mergeCell ref="B19:C19"/>
    <mergeCell ref="B20:C20"/>
    <mergeCell ref="B23:C23"/>
    <mergeCell ref="B10:C10"/>
    <mergeCell ref="B11:C11"/>
    <mergeCell ref="B13:C13"/>
    <mergeCell ref="B14:C14"/>
    <mergeCell ref="B16:C16"/>
    <mergeCell ref="B17:C17"/>
    <mergeCell ref="B24:C24"/>
    <mergeCell ref="B26:C26"/>
    <mergeCell ref="B21:C21"/>
    <mergeCell ref="B22:C22"/>
    <mergeCell ref="B25:C25"/>
    <mergeCell ref="A27:D27"/>
  </mergeCells>
  <printOptions horizontalCentered="1" verticalCentered="1"/>
  <pageMargins left="0.5" right="0.5" top="0.5" bottom="0.5" header="0.5" footer="0.5"/>
  <pageSetup orientation="landscape" horizontalDpi="300" verticalDpi="300" r:id="rId1"/>
  <headerFooter alignWithMargins="0">
    <oddFooter>&amp;L&amp;9&amp;D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486CD-FBDE-4A91-BE56-24560D920462}">
  <sheetPr codeName="Sheet11">
    <pageSetUpPr fitToPage="1"/>
  </sheetPr>
  <dimension ref="A1:L48"/>
  <sheetViews>
    <sheetView showGridLines="0" topLeftCell="A20" zoomScaleNormal="100" zoomScaleSheetLayoutView="98" workbookViewId="0">
      <selection activeCell="B34" sqref="B34:B35"/>
    </sheetView>
  </sheetViews>
  <sheetFormatPr defaultColWidth="10.6328125" defaultRowHeight="13.8" x14ac:dyDescent="0.3"/>
  <cols>
    <col min="1" max="1" width="9.6328125" style="2" customWidth="1"/>
    <col min="2" max="2" width="12.453125" style="133" customWidth="1"/>
    <col min="3" max="3" width="8.36328125" style="133" customWidth="1"/>
    <col min="4" max="4" width="8.7265625" style="133" customWidth="1"/>
    <col min="5" max="5" width="12" style="133" customWidth="1"/>
    <col min="6" max="6" width="2.36328125" style="2" customWidth="1"/>
    <col min="7" max="7" width="6.08984375" style="2" customWidth="1"/>
    <col min="8" max="8" width="7.7265625" style="2" customWidth="1"/>
    <col min="9" max="9" width="14.453125" style="2" customWidth="1"/>
    <col min="10" max="10" width="10.7265625" style="2" bestFit="1" customWidth="1"/>
    <col min="11" max="11" width="16.26953125" style="2" customWidth="1"/>
    <col min="12" max="12" width="11.453125" style="2" bestFit="1" customWidth="1"/>
    <col min="13" max="16384" width="10.6328125" style="2"/>
  </cols>
  <sheetData>
    <row r="1" spans="1:12" ht="18" x14ac:dyDescent="0.35">
      <c r="A1" s="748" t="s">
        <v>195</v>
      </c>
      <c r="B1" s="748"/>
      <c r="C1" s="748"/>
      <c r="D1" s="748"/>
      <c r="E1" s="748"/>
      <c r="F1" s="748"/>
      <c r="G1" s="748"/>
      <c r="H1" s="748"/>
      <c r="I1" s="748"/>
      <c r="J1" s="748"/>
    </row>
    <row r="2" spans="1:12" ht="18.600000000000001" thickBot="1" x14ac:dyDescent="0.4">
      <c r="A2" s="749" t="s">
        <v>199</v>
      </c>
      <c r="B2" s="749"/>
      <c r="C2" s="749"/>
      <c r="D2" s="749"/>
      <c r="E2" s="749"/>
      <c r="F2" s="749"/>
      <c r="G2" s="749"/>
      <c r="H2" s="749"/>
      <c r="I2" s="749"/>
      <c r="J2" s="55">
        <f>'FINANCIAL COST SUMMARY '!I2</f>
        <v>46174</v>
      </c>
    </row>
    <row r="3" spans="1:12" x14ac:dyDescent="0.3">
      <c r="A3" s="750"/>
      <c r="B3" s="750"/>
      <c r="C3" s="750"/>
      <c r="D3" s="750"/>
      <c r="E3" s="750"/>
      <c r="F3" s="750"/>
      <c r="G3" s="750"/>
      <c r="H3" s="750"/>
      <c r="I3" s="750"/>
      <c r="J3" s="750"/>
      <c r="K3" s="516">
        <v>47789154.670000002</v>
      </c>
    </row>
    <row r="4" spans="1:12" ht="15.6" customHeight="1" x14ac:dyDescent="0.3">
      <c r="A4" s="751" t="s">
        <v>4</v>
      </c>
      <c r="B4" s="246" t="s">
        <v>160</v>
      </c>
      <c r="C4" s="247" t="s">
        <v>11</v>
      </c>
      <c r="D4" s="248"/>
      <c r="E4" s="246" t="s">
        <v>161</v>
      </c>
      <c r="G4" s="249" t="s">
        <v>162</v>
      </c>
      <c r="H4" s="753" t="s">
        <v>216</v>
      </c>
      <c r="I4" s="250" t="s">
        <v>163</v>
      </c>
      <c r="J4" s="251" t="s">
        <v>164</v>
      </c>
    </row>
    <row r="5" spans="1:12" x14ac:dyDescent="0.3">
      <c r="A5" s="752"/>
      <c r="B5" s="428" t="s">
        <v>1</v>
      </c>
      <c r="C5" s="252" t="s">
        <v>12</v>
      </c>
      <c r="D5" s="252" t="s">
        <v>13</v>
      </c>
      <c r="E5" s="252" t="s">
        <v>165</v>
      </c>
      <c r="G5" s="253" t="s">
        <v>166</v>
      </c>
      <c r="H5" s="754"/>
      <c r="I5" s="254" t="s">
        <v>167</v>
      </c>
      <c r="J5" s="255" t="s">
        <v>168</v>
      </c>
    </row>
    <row r="6" spans="1:12" x14ac:dyDescent="0.3">
      <c r="A6" s="386">
        <v>46174</v>
      </c>
      <c r="B6" s="516">
        <f>-'[1]29 May'!$H$18</f>
        <v>47789154.670000002</v>
      </c>
      <c r="C6" s="410"/>
      <c r="D6" s="256"/>
      <c r="E6" s="68">
        <f>SUM(B6:D6)</f>
        <v>47789154.670000002</v>
      </c>
      <c r="G6" s="257">
        <v>7.4999999999999997E-3</v>
      </c>
      <c r="H6" s="258">
        <v>0.1149</v>
      </c>
      <c r="I6" s="259">
        <f>+H6+G6</f>
        <v>0.12240000000000001</v>
      </c>
      <c r="J6" s="260">
        <f>IF(E6&lt;0,0,E6*I6/365)</f>
        <v>16025.732963309591</v>
      </c>
      <c r="K6" s="1">
        <f>E6-K3</f>
        <v>0</v>
      </c>
      <c r="L6" s="311"/>
    </row>
    <row r="7" spans="1:12" x14ac:dyDescent="0.3">
      <c r="A7" s="386">
        <f>+A6+1</f>
        <v>46175</v>
      </c>
      <c r="B7" s="516">
        <f>-'[3]02 June'!$H$18</f>
        <v>21289154.670000002</v>
      </c>
      <c r="C7" s="410"/>
      <c r="D7" s="256"/>
      <c r="E7" s="68">
        <f t="shared" ref="E7:E32" si="0">SUM(B7:D7)</f>
        <v>21289154.670000002</v>
      </c>
      <c r="G7" s="261">
        <f>+G6</f>
        <v>7.4999999999999997E-3</v>
      </c>
      <c r="H7" s="258">
        <v>0.1149</v>
      </c>
      <c r="I7" s="259">
        <f>+H7+G7</f>
        <v>0.12240000000000001</v>
      </c>
      <c r="J7" s="260">
        <f t="shared" ref="J7:J32" si="1">IF(E7&lt;0,0,E7*I7/365)</f>
        <v>7139.1576208438364</v>
      </c>
      <c r="K7" s="69">
        <f>+E7-E6</f>
        <v>-26500000</v>
      </c>
    </row>
    <row r="8" spans="1:12" x14ac:dyDescent="0.3">
      <c r="A8" s="386">
        <f t="shared" ref="A8:A35" si="2">+A7+1</f>
        <v>46176</v>
      </c>
      <c r="B8" s="516">
        <f>-'[3]03 June'!$H$18</f>
        <v>8489154.6700000018</v>
      </c>
      <c r="C8" s="410"/>
      <c r="D8" s="256"/>
      <c r="E8" s="68">
        <f t="shared" si="0"/>
        <v>8489154.6700000018</v>
      </c>
      <c r="G8" s="261">
        <f t="shared" ref="G8:G35" si="3">+G7</f>
        <v>7.4999999999999997E-3</v>
      </c>
      <c r="H8" s="258">
        <v>0.1149</v>
      </c>
      <c r="I8" s="259">
        <f t="shared" ref="I8:I31" si="4">+H8+G8</f>
        <v>0.12240000000000001</v>
      </c>
      <c r="J8" s="260">
        <f t="shared" si="1"/>
        <v>2846.7740592000009</v>
      </c>
      <c r="K8" s="69">
        <f t="shared" ref="K8:K32" si="5">+E8-E7</f>
        <v>-12800000</v>
      </c>
      <c r="L8" s="69"/>
    </row>
    <row r="9" spans="1:12" x14ac:dyDescent="0.3">
      <c r="A9" s="386">
        <f t="shared" si="2"/>
        <v>46177</v>
      </c>
      <c r="B9" s="516">
        <f>-'[3]04 June'!$H$18</f>
        <v>3489154.6700000018</v>
      </c>
      <c r="C9" s="410"/>
      <c r="D9" s="256"/>
      <c r="E9" s="68">
        <f t="shared" si="0"/>
        <v>3489154.6700000018</v>
      </c>
      <c r="G9" s="261">
        <f t="shared" si="3"/>
        <v>7.4999999999999997E-3</v>
      </c>
      <c r="H9" s="258">
        <v>0.1149</v>
      </c>
      <c r="I9" s="259">
        <f t="shared" si="4"/>
        <v>0.12240000000000001</v>
      </c>
      <c r="J9" s="260">
        <f t="shared" si="1"/>
        <v>1170.0617304328773</v>
      </c>
      <c r="K9" s="69">
        <f t="shared" si="5"/>
        <v>-5000000</v>
      </c>
    </row>
    <row r="10" spans="1:12" x14ac:dyDescent="0.3">
      <c r="A10" s="386">
        <f t="shared" si="2"/>
        <v>46178</v>
      </c>
      <c r="B10" s="516">
        <f>-'[3]05 June'!$H$18</f>
        <v>4542467.6700000018</v>
      </c>
      <c r="C10" s="262"/>
      <c r="D10" s="68"/>
      <c r="E10" s="68">
        <f t="shared" si="0"/>
        <v>4542467.6700000018</v>
      </c>
      <c r="G10" s="261">
        <f t="shared" si="3"/>
        <v>7.4999999999999997E-3</v>
      </c>
      <c r="H10" s="258">
        <v>0.1149</v>
      </c>
      <c r="I10" s="259">
        <f t="shared" si="4"/>
        <v>0.12240000000000001</v>
      </c>
      <c r="J10" s="260">
        <f t="shared" si="1"/>
        <v>1523.2823090630143</v>
      </c>
      <c r="K10" s="69">
        <f t="shared" si="5"/>
        <v>1053313</v>
      </c>
    </row>
    <row r="11" spans="1:12" x14ac:dyDescent="0.3">
      <c r="A11" s="236">
        <f t="shared" si="2"/>
        <v>46179</v>
      </c>
      <c r="B11" s="516">
        <f>-'[3]05 June'!$H$18</f>
        <v>4542467.6700000018</v>
      </c>
      <c r="C11" s="68"/>
      <c r="D11" s="68"/>
      <c r="E11" s="68">
        <f>SUM(B11:D11)</f>
        <v>4542467.6700000018</v>
      </c>
      <c r="G11" s="261">
        <f t="shared" si="3"/>
        <v>7.4999999999999997E-3</v>
      </c>
      <c r="H11" s="258">
        <v>0.1149</v>
      </c>
      <c r="I11" s="259">
        <f t="shared" si="4"/>
        <v>0.12240000000000001</v>
      </c>
      <c r="J11" s="260">
        <f t="shared" si="1"/>
        <v>1523.2823090630143</v>
      </c>
      <c r="K11" s="69">
        <f t="shared" si="5"/>
        <v>0</v>
      </c>
    </row>
    <row r="12" spans="1:12" x14ac:dyDescent="0.3">
      <c r="A12" s="236">
        <f t="shared" si="2"/>
        <v>46180</v>
      </c>
      <c r="B12" s="516">
        <f>-'[3]05 June'!$H$18</f>
        <v>4542467.6700000018</v>
      </c>
      <c r="C12" s="68"/>
      <c r="D12" s="68"/>
      <c r="E12" s="68">
        <f t="shared" si="0"/>
        <v>4542467.6700000018</v>
      </c>
      <c r="G12" s="261">
        <f t="shared" si="3"/>
        <v>7.4999999999999997E-3</v>
      </c>
      <c r="H12" s="258">
        <v>0.1149</v>
      </c>
      <c r="I12" s="259">
        <f t="shared" si="4"/>
        <v>0.12240000000000001</v>
      </c>
      <c r="J12" s="260">
        <f t="shared" si="1"/>
        <v>1523.2823090630143</v>
      </c>
      <c r="K12" s="69">
        <f t="shared" si="5"/>
        <v>0</v>
      </c>
      <c r="L12" s="69"/>
    </row>
    <row r="13" spans="1:12" x14ac:dyDescent="0.3">
      <c r="A13" s="236">
        <f t="shared" si="2"/>
        <v>46181</v>
      </c>
      <c r="B13" s="516">
        <f>-'[3]08 June'!$H$18</f>
        <v>142467.67000000179</v>
      </c>
      <c r="C13" s="68"/>
      <c r="D13" s="68"/>
      <c r="E13" s="68">
        <f t="shared" si="0"/>
        <v>142467.67000000179</v>
      </c>
      <c r="G13" s="261">
        <f t="shared" si="3"/>
        <v>7.4999999999999997E-3</v>
      </c>
      <c r="H13" s="258">
        <v>0.1149</v>
      </c>
      <c r="I13" s="259">
        <f t="shared" si="4"/>
        <v>0.12240000000000001</v>
      </c>
      <c r="J13" s="260">
        <f t="shared" si="1"/>
        <v>47.77545974794581</v>
      </c>
      <c r="K13" s="69">
        <f t="shared" si="5"/>
        <v>-4400000</v>
      </c>
    </row>
    <row r="14" spans="1:12" x14ac:dyDescent="0.3">
      <c r="A14" s="236">
        <f t="shared" si="2"/>
        <v>46182</v>
      </c>
      <c r="B14" s="516">
        <f>-'[3]09 June'!$H$18</f>
        <v>165224.67000000179</v>
      </c>
      <c r="C14" s="68"/>
      <c r="D14" s="68"/>
      <c r="E14" s="68">
        <f t="shared" si="0"/>
        <v>165224.67000000179</v>
      </c>
      <c r="G14" s="261">
        <f t="shared" si="3"/>
        <v>7.4999999999999997E-3</v>
      </c>
      <c r="H14" s="258">
        <v>0.1149</v>
      </c>
      <c r="I14" s="259">
        <f t="shared" si="4"/>
        <v>0.12240000000000001</v>
      </c>
      <c r="J14" s="260">
        <f t="shared" si="1"/>
        <v>55.40684824109649</v>
      </c>
      <c r="K14" s="69">
        <f t="shared" si="5"/>
        <v>22757</v>
      </c>
    </row>
    <row r="15" spans="1:12" x14ac:dyDescent="0.3">
      <c r="A15" s="236">
        <f t="shared" si="2"/>
        <v>46183</v>
      </c>
      <c r="B15" s="516">
        <f>-'[3]10 June'!$H$18</f>
        <v>6289216.6700000018</v>
      </c>
      <c r="C15" s="262"/>
      <c r="D15" s="68"/>
      <c r="E15" s="68">
        <f t="shared" si="0"/>
        <v>6289216.6700000018</v>
      </c>
      <c r="G15" s="261">
        <f t="shared" si="3"/>
        <v>7.4999999999999997E-3</v>
      </c>
      <c r="H15" s="258">
        <v>0.1149</v>
      </c>
      <c r="I15" s="259">
        <f t="shared" si="4"/>
        <v>0.12240000000000001</v>
      </c>
      <c r="J15" s="260">
        <f t="shared" si="1"/>
        <v>2109.0414257753432</v>
      </c>
      <c r="K15" s="69">
        <f t="shared" si="5"/>
        <v>6123992</v>
      </c>
    </row>
    <row r="16" spans="1:12" x14ac:dyDescent="0.3">
      <c r="A16" s="236">
        <f t="shared" si="2"/>
        <v>46184</v>
      </c>
      <c r="B16" s="516">
        <f>-'[3]11 June'!$H$18</f>
        <v>-42432484.329999998</v>
      </c>
      <c r="C16" s="262"/>
      <c r="D16" s="68"/>
      <c r="E16" s="68">
        <f t="shared" si="0"/>
        <v>-42432484.329999998</v>
      </c>
      <c r="G16" s="261">
        <f t="shared" si="3"/>
        <v>7.4999999999999997E-3</v>
      </c>
      <c r="H16" s="258">
        <v>0.1149</v>
      </c>
      <c r="I16" s="259">
        <f t="shared" si="4"/>
        <v>0.12240000000000001</v>
      </c>
      <c r="J16" s="260">
        <f t="shared" si="1"/>
        <v>0</v>
      </c>
      <c r="K16" s="69">
        <f t="shared" si="5"/>
        <v>-48721701</v>
      </c>
    </row>
    <row r="17" spans="1:12" x14ac:dyDescent="0.3">
      <c r="A17" s="236">
        <f t="shared" si="2"/>
        <v>46185</v>
      </c>
      <c r="B17" s="516">
        <v>0</v>
      </c>
      <c r="C17" s="262"/>
      <c r="D17" s="68"/>
      <c r="E17" s="68">
        <f>SUM(B17:D17)</f>
        <v>0</v>
      </c>
      <c r="G17" s="261">
        <f t="shared" si="3"/>
        <v>7.4999999999999997E-3</v>
      </c>
      <c r="H17" s="258">
        <v>0.1149</v>
      </c>
      <c r="I17" s="259">
        <f t="shared" si="4"/>
        <v>0.12240000000000001</v>
      </c>
      <c r="J17" s="260">
        <f t="shared" si="1"/>
        <v>0</v>
      </c>
      <c r="K17" s="69">
        <f t="shared" si="5"/>
        <v>42432484.329999998</v>
      </c>
    </row>
    <row r="18" spans="1:12" x14ac:dyDescent="0.3">
      <c r="A18" s="236">
        <f t="shared" si="2"/>
        <v>46186</v>
      </c>
      <c r="B18" s="516">
        <f t="shared" ref="B18:B33" si="6">B17</f>
        <v>0</v>
      </c>
      <c r="C18" s="262"/>
      <c r="D18" s="68"/>
      <c r="E18" s="68">
        <f t="shared" si="0"/>
        <v>0</v>
      </c>
      <c r="G18" s="261">
        <f t="shared" si="3"/>
        <v>7.4999999999999997E-3</v>
      </c>
      <c r="H18" s="258">
        <v>0.1149</v>
      </c>
      <c r="I18" s="259">
        <f t="shared" si="4"/>
        <v>0.12240000000000001</v>
      </c>
      <c r="J18" s="260">
        <f t="shared" si="1"/>
        <v>0</v>
      </c>
      <c r="K18" s="69">
        <f t="shared" si="5"/>
        <v>0</v>
      </c>
    </row>
    <row r="19" spans="1:12" x14ac:dyDescent="0.3">
      <c r="A19" s="386">
        <f t="shared" si="2"/>
        <v>46187</v>
      </c>
      <c r="B19" s="516">
        <f t="shared" si="6"/>
        <v>0</v>
      </c>
      <c r="C19" s="262"/>
      <c r="D19" s="68"/>
      <c r="E19" s="68">
        <f t="shared" si="0"/>
        <v>0</v>
      </c>
      <c r="G19" s="261">
        <f t="shared" si="3"/>
        <v>7.4999999999999997E-3</v>
      </c>
      <c r="H19" s="258">
        <v>0.1149</v>
      </c>
      <c r="I19" s="259">
        <f t="shared" si="4"/>
        <v>0.12240000000000001</v>
      </c>
      <c r="J19" s="260">
        <f t="shared" si="1"/>
        <v>0</v>
      </c>
      <c r="K19" s="69">
        <f t="shared" si="5"/>
        <v>0</v>
      </c>
      <c r="L19" s="133"/>
    </row>
    <row r="20" spans="1:12" x14ac:dyDescent="0.3">
      <c r="A20" s="236">
        <f t="shared" si="2"/>
        <v>46188</v>
      </c>
      <c r="B20" s="516">
        <f t="shared" si="6"/>
        <v>0</v>
      </c>
      <c r="C20" s="262"/>
      <c r="D20" s="68"/>
      <c r="E20" s="68">
        <f t="shared" si="0"/>
        <v>0</v>
      </c>
      <c r="G20" s="261">
        <f t="shared" si="3"/>
        <v>7.4999999999999997E-3</v>
      </c>
      <c r="H20" s="258">
        <v>0.1149</v>
      </c>
      <c r="I20" s="259">
        <f t="shared" si="4"/>
        <v>0.12240000000000001</v>
      </c>
      <c r="J20" s="260">
        <f t="shared" si="1"/>
        <v>0</v>
      </c>
      <c r="K20" s="69">
        <f t="shared" si="5"/>
        <v>0</v>
      </c>
      <c r="L20" s="69"/>
    </row>
    <row r="21" spans="1:12" x14ac:dyDescent="0.3">
      <c r="A21" s="236">
        <f t="shared" si="2"/>
        <v>46189</v>
      </c>
      <c r="B21" s="516">
        <f t="shared" si="6"/>
        <v>0</v>
      </c>
      <c r="C21" s="262"/>
      <c r="D21" s="68"/>
      <c r="E21" s="68">
        <f t="shared" si="0"/>
        <v>0</v>
      </c>
      <c r="G21" s="261">
        <f t="shared" si="3"/>
        <v>7.4999999999999997E-3</v>
      </c>
      <c r="H21" s="258">
        <v>0.1149</v>
      </c>
      <c r="I21" s="259">
        <f t="shared" si="4"/>
        <v>0.12240000000000001</v>
      </c>
      <c r="J21" s="260">
        <f t="shared" si="1"/>
        <v>0</v>
      </c>
      <c r="K21" s="69">
        <f t="shared" si="5"/>
        <v>0</v>
      </c>
      <c r="L21" s="69"/>
    </row>
    <row r="22" spans="1:12" x14ac:dyDescent="0.3">
      <c r="A22" s="236">
        <f t="shared" si="2"/>
        <v>46190</v>
      </c>
      <c r="B22" s="516">
        <f t="shared" si="6"/>
        <v>0</v>
      </c>
      <c r="C22" s="68"/>
      <c r="D22" s="68"/>
      <c r="E22" s="68">
        <f>SUM(B22:D22)</f>
        <v>0</v>
      </c>
      <c r="G22" s="261">
        <f t="shared" si="3"/>
        <v>7.4999999999999997E-3</v>
      </c>
      <c r="H22" s="258">
        <v>0.1149</v>
      </c>
      <c r="I22" s="259">
        <f t="shared" si="4"/>
        <v>0.12240000000000001</v>
      </c>
      <c r="J22" s="260">
        <f t="shared" si="1"/>
        <v>0</v>
      </c>
      <c r="K22" s="69">
        <f t="shared" si="5"/>
        <v>0</v>
      </c>
      <c r="L22" s="69"/>
    </row>
    <row r="23" spans="1:12" x14ac:dyDescent="0.3">
      <c r="A23" s="236">
        <f t="shared" si="2"/>
        <v>46191</v>
      </c>
      <c r="B23" s="516">
        <f t="shared" si="6"/>
        <v>0</v>
      </c>
      <c r="C23" s="98"/>
      <c r="D23" s="68"/>
      <c r="E23" s="68">
        <f t="shared" si="0"/>
        <v>0</v>
      </c>
      <c r="G23" s="261">
        <f t="shared" si="3"/>
        <v>7.4999999999999997E-3</v>
      </c>
      <c r="H23" s="258">
        <v>0.1149</v>
      </c>
      <c r="I23" s="259">
        <f t="shared" si="4"/>
        <v>0.12240000000000001</v>
      </c>
      <c r="J23" s="260">
        <f t="shared" si="1"/>
        <v>0</v>
      </c>
      <c r="K23" s="69">
        <f t="shared" si="5"/>
        <v>0</v>
      </c>
    </row>
    <row r="24" spans="1:12" x14ac:dyDescent="0.3">
      <c r="A24" s="236">
        <f t="shared" si="2"/>
        <v>46192</v>
      </c>
      <c r="B24" s="516">
        <f t="shared" si="6"/>
        <v>0</v>
      </c>
      <c r="C24" s="68"/>
      <c r="D24" s="68"/>
      <c r="E24" s="68">
        <f t="shared" si="0"/>
        <v>0</v>
      </c>
      <c r="G24" s="261">
        <f t="shared" si="3"/>
        <v>7.4999999999999997E-3</v>
      </c>
      <c r="H24" s="258">
        <v>0.1149</v>
      </c>
      <c r="I24" s="259">
        <f t="shared" si="4"/>
        <v>0.12240000000000001</v>
      </c>
      <c r="J24" s="260">
        <f t="shared" si="1"/>
        <v>0</v>
      </c>
      <c r="K24" s="69">
        <f t="shared" si="5"/>
        <v>0</v>
      </c>
    </row>
    <row r="25" spans="1:12" x14ac:dyDescent="0.3">
      <c r="A25" s="236">
        <f t="shared" si="2"/>
        <v>46193</v>
      </c>
      <c r="B25" s="516">
        <f>-'[3]20 June'!$H$18</f>
        <v>27948732.670000002</v>
      </c>
      <c r="C25" s="68"/>
      <c r="D25" s="68"/>
      <c r="E25" s="68">
        <f t="shared" si="0"/>
        <v>27948732.670000002</v>
      </c>
      <c r="G25" s="261">
        <f t="shared" si="3"/>
        <v>7.4999999999999997E-3</v>
      </c>
      <c r="H25" s="258">
        <v>0.1149</v>
      </c>
      <c r="I25" s="259">
        <f t="shared" si="4"/>
        <v>0.12240000000000001</v>
      </c>
      <c r="J25" s="260">
        <f t="shared" si="1"/>
        <v>9372.3969282410981</v>
      </c>
      <c r="K25" s="69">
        <f t="shared" si="5"/>
        <v>27948732.670000002</v>
      </c>
    </row>
    <row r="26" spans="1:12" x14ac:dyDescent="0.3">
      <c r="A26" s="236">
        <f t="shared" si="2"/>
        <v>46194</v>
      </c>
      <c r="B26" s="516">
        <f t="shared" si="6"/>
        <v>27948732.670000002</v>
      </c>
      <c r="C26" s="68"/>
      <c r="D26" s="68"/>
      <c r="E26" s="68">
        <f t="shared" si="0"/>
        <v>27948732.670000002</v>
      </c>
      <c r="G26" s="261">
        <f t="shared" si="3"/>
        <v>7.4999999999999997E-3</v>
      </c>
      <c r="H26" s="258">
        <v>0.1149</v>
      </c>
      <c r="I26" s="259">
        <f t="shared" si="4"/>
        <v>0.12240000000000001</v>
      </c>
      <c r="J26" s="260">
        <f t="shared" si="1"/>
        <v>9372.3969282410981</v>
      </c>
      <c r="K26" s="69">
        <f t="shared" si="5"/>
        <v>0</v>
      </c>
    </row>
    <row r="27" spans="1:12" x14ac:dyDescent="0.3">
      <c r="A27" s="236">
        <f t="shared" si="2"/>
        <v>46195</v>
      </c>
      <c r="B27" s="516">
        <f>-'[3]22 June'!$H$18</f>
        <v>46148935.670000002</v>
      </c>
      <c r="C27" s="68"/>
      <c r="D27" s="68"/>
      <c r="E27" s="68">
        <f t="shared" si="0"/>
        <v>46148935.670000002</v>
      </c>
      <c r="G27" s="261">
        <f t="shared" si="3"/>
        <v>7.4999999999999997E-3</v>
      </c>
      <c r="H27" s="258">
        <v>0.1149</v>
      </c>
      <c r="I27" s="259">
        <f t="shared" si="4"/>
        <v>0.12240000000000001</v>
      </c>
      <c r="J27" s="260">
        <f t="shared" si="1"/>
        <v>15475.697879473975</v>
      </c>
      <c r="K27" s="69">
        <f t="shared" si="5"/>
        <v>18200203</v>
      </c>
      <c r="L27" s="69"/>
    </row>
    <row r="28" spans="1:12" x14ac:dyDescent="0.3">
      <c r="A28" s="236">
        <f t="shared" si="2"/>
        <v>46196</v>
      </c>
      <c r="B28" s="516">
        <f t="shared" si="6"/>
        <v>46148935.670000002</v>
      </c>
      <c r="C28" s="68"/>
      <c r="D28" s="68"/>
      <c r="E28" s="68">
        <f t="shared" si="0"/>
        <v>46148935.670000002</v>
      </c>
      <c r="G28" s="261">
        <f t="shared" si="3"/>
        <v>7.4999999999999997E-3</v>
      </c>
      <c r="H28" s="258">
        <v>0.1149</v>
      </c>
      <c r="I28" s="259">
        <f t="shared" si="4"/>
        <v>0.12240000000000001</v>
      </c>
      <c r="J28" s="260">
        <f t="shared" si="1"/>
        <v>15475.697879473975</v>
      </c>
      <c r="K28" s="69">
        <f t="shared" si="5"/>
        <v>0</v>
      </c>
    </row>
    <row r="29" spans="1:12" x14ac:dyDescent="0.3">
      <c r="A29" s="236">
        <f t="shared" si="2"/>
        <v>46197</v>
      </c>
      <c r="B29" s="516">
        <f t="shared" si="6"/>
        <v>46148935.670000002</v>
      </c>
      <c r="C29" s="68"/>
      <c r="D29" s="68"/>
      <c r="E29" s="68">
        <f t="shared" si="0"/>
        <v>46148935.670000002</v>
      </c>
      <c r="G29" s="261">
        <f t="shared" si="3"/>
        <v>7.4999999999999997E-3</v>
      </c>
      <c r="H29" s="258">
        <v>0.1149</v>
      </c>
      <c r="I29" s="259">
        <f t="shared" si="4"/>
        <v>0.12240000000000001</v>
      </c>
      <c r="J29" s="260">
        <f t="shared" si="1"/>
        <v>15475.697879473975</v>
      </c>
      <c r="K29" s="69">
        <f t="shared" si="5"/>
        <v>0</v>
      </c>
    </row>
    <row r="30" spans="1:12" x14ac:dyDescent="0.3">
      <c r="A30" s="236">
        <f t="shared" si="2"/>
        <v>46198</v>
      </c>
      <c r="B30" s="516">
        <f t="shared" si="6"/>
        <v>46148935.670000002</v>
      </c>
      <c r="C30" s="68"/>
      <c r="D30" s="68"/>
      <c r="E30" s="68">
        <f t="shared" si="0"/>
        <v>46148935.670000002</v>
      </c>
      <c r="G30" s="261">
        <f t="shared" si="3"/>
        <v>7.4999999999999997E-3</v>
      </c>
      <c r="H30" s="258">
        <v>0.1149</v>
      </c>
      <c r="I30" s="259">
        <f t="shared" si="4"/>
        <v>0.12240000000000001</v>
      </c>
      <c r="J30" s="260">
        <f t="shared" si="1"/>
        <v>15475.697879473975</v>
      </c>
      <c r="K30" s="69">
        <f t="shared" si="5"/>
        <v>0</v>
      </c>
      <c r="L30" s="69"/>
    </row>
    <row r="31" spans="1:12" x14ac:dyDescent="0.3">
      <c r="A31" s="236">
        <f t="shared" si="2"/>
        <v>46199</v>
      </c>
      <c r="B31" s="516">
        <f t="shared" si="6"/>
        <v>46148935.670000002</v>
      </c>
      <c r="C31" s="68"/>
      <c r="D31" s="68"/>
      <c r="E31" s="68">
        <f t="shared" si="0"/>
        <v>46148935.670000002</v>
      </c>
      <c r="G31" s="261">
        <f t="shared" si="3"/>
        <v>7.4999999999999997E-3</v>
      </c>
      <c r="H31" s="258">
        <v>0.1149</v>
      </c>
      <c r="I31" s="259">
        <f t="shared" si="4"/>
        <v>0.12240000000000001</v>
      </c>
      <c r="J31" s="260">
        <f t="shared" si="1"/>
        <v>15475.697879473975</v>
      </c>
      <c r="K31" s="69">
        <f t="shared" si="5"/>
        <v>0</v>
      </c>
    </row>
    <row r="32" spans="1:12" x14ac:dyDescent="0.3">
      <c r="A32" s="236">
        <f t="shared" si="2"/>
        <v>46200</v>
      </c>
      <c r="B32" s="516">
        <f t="shared" si="6"/>
        <v>46148935.670000002</v>
      </c>
      <c r="C32" s="68"/>
      <c r="D32" s="68"/>
      <c r="E32" s="68">
        <f t="shared" si="0"/>
        <v>46148935.670000002</v>
      </c>
      <c r="G32" s="261">
        <f t="shared" si="3"/>
        <v>7.4999999999999997E-3</v>
      </c>
      <c r="H32" s="258">
        <v>0.1149</v>
      </c>
      <c r="I32" s="259">
        <f>+H32+G32</f>
        <v>0.12240000000000001</v>
      </c>
      <c r="J32" s="260">
        <f t="shared" si="1"/>
        <v>15475.697879473975</v>
      </c>
      <c r="K32" s="69">
        <f t="shared" si="5"/>
        <v>0</v>
      </c>
    </row>
    <row r="33" spans="1:12" x14ac:dyDescent="0.3">
      <c r="A33" s="236">
        <f t="shared" si="2"/>
        <v>46201</v>
      </c>
      <c r="B33" s="516">
        <f t="shared" si="6"/>
        <v>46148935.670000002</v>
      </c>
      <c r="C33" s="68"/>
      <c r="D33" s="68"/>
      <c r="E33" s="68">
        <f>SUM(B33:D33)</f>
        <v>46148935.670000002</v>
      </c>
      <c r="G33" s="261">
        <f t="shared" si="3"/>
        <v>7.4999999999999997E-3</v>
      </c>
      <c r="H33" s="258">
        <v>0.1149</v>
      </c>
      <c r="I33" s="259">
        <f>+H33+G33</f>
        <v>0.12240000000000001</v>
      </c>
      <c r="J33" s="260">
        <f>IF(E33&lt;0,0,E33*I33/365)</f>
        <v>15475.697879473975</v>
      </c>
      <c r="K33" s="69">
        <f>+E33-E32</f>
        <v>0</v>
      </c>
    </row>
    <row r="34" spans="1:12" x14ac:dyDescent="0.3">
      <c r="A34" s="236">
        <f t="shared" si="2"/>
        <v>46202</v>
      </c>
      <c r="B34" s="516"/>
      <c r="C34" s="68"/>
      <c r="D34" s="68"/>
      <c r="E34" s="68">
        <f>SUM(B34:D34)</f>
        <v>0</v>
      </c>
      <c r="G34" s="261">
        <f t="shared" si="3"/>
        <v>7.4999999999999997E-3</v>
      </c>
      <c r="H34" s="258">
        <v>0.1149</v>
      </c>
      <c r="I34" s="259">
        <f>+H34+G34</f>
        <v>0.12240000000000001</v>
      </c>
      <c r="J34" s="260">
        <f>IF(E34&lt;0,0,E34*I34/365)</f>
        <v>0</v>
      </c>
      <c r="K34" s="69">
        <f>+E34-E33</f>
        <v>-46148935.670000002</v>
      </c>
    </row>
    <row r="35" spans="1:12" x14ac:dyDescent="0.3">
      <c r="A35" s="236">
        <f t="shared" si="2"/>
        <v>46203</v>
      </c>
      <c r="B35" s="516"/>
      <c r="C35" s="68"/>
      <c r="D35" s="68"/>
      <c r="E35" s="68">
        <f>SUM(B35:D35)</f>
        <v>0</v>
      </c>
      <c r="G35" s="261">
        <f t="shared" si="3"/>
        <v>7.4999999999999997E-3</v>
      </c>
      <c r="H35" s="258">
        <v>0.1149</v>
      </c>
      <c r="I35" s="259">
        <f>+H35+G35</f>
        <v>0.12240000000000001</v>
      </c>
      <c r="J35" s="260">
        <f>IF(E35&lt;0,0,E35*I35/365)</f>
        <v>0</v>
      </c>
      <c r="K35" s="69">
        <f>+E35-E34</f>
        <v>0</v>
      </c>
    </row>
    <row r="36" spans="1:12" x14ac:dyDescent="0.3">
      <c r="B36" s="571"/>
      <c r="G36" s="263" t="s">
        <v>18</v>
      </c>
      <c r="H36" s="264"/>
      <c r="I36" s="16"/>
      <c r="J36" s="265">
        <f>SUM(J6:J35)</f>
        <v>161038.47604753973</v>
      </c>
      <c r="K36" s="69">
        <v>0</v>
      </c>
    </row>
    <row r="37" spans="1:12" x14ac:dyDescent="0.3">
      <c r="A37" s="739"/>
      <c r="B37" s="739"/>
      <c r="C37" s="739"/>
      <c r="D37" s="739"/>
      <c r="E37" s="739"/>
      <c r="F37" s="739"/>
      <c r="G37" s="739"/>
      <c r="H37" s="739"/>
      <c r="I37" s="739"/>
      <c r="J37" s="739"/>
    </row>
    <row r="38" spans="1:12" ht="14.4" thickBot="1" x14ac:dyDescent="0.35">
      <c r="G38" s="762" t="s">
        <v>24</v>
      </c>
      <c r="H38" s="762"/>
      <c r="I38" s="762"/>
    </row>
    <row r="39" spans="1:12" x14ac:dyDescent="0.3">
      <c r="G39" s="763"/>
      <c r="H39" s="756"/>
      <c r="I39" s="756"/>
      <c r="J39" s="407" t="s">
        <v>0</v>
      </c>
    </row>
    <row r="40" spans="1:12" x14ac:dyDescent="0.3">
      <c r="G40" s="764" t="s">
        <v>19</v>
      </c>
      <c r="H40" s="743"/>
      <c r="I40" s="743"/>
      <c r="J40" s="532">
        <f>'[2]SONERI-RF'!$J$47</f>
        <v>695474.18626669422</v>
      </c>
      <c r="K40" s="193"/>
    </row>
    <row r="41" spans="1:12" x14ac:dyDescent="0.3">
      <c r="G41" s="765" t="s">
        <v>42</v>
      </c>
      <c r="H41" s="759"/>
      <c r="I41" s="759"/>
      <c r="J41" s="532">
        <v>0</v>
      </c>
      <c r="K41" s="193"/>
    </row>
    <row r="42" spans="1:12" ht="14.4" thickBot="1" x14ac:dyDescent="0.35">
      <c r="B42" s="2"/>
      <c r="D42" s="2"/>
      <c r="G42" s="766" t="str">
        <f>IF(J42&lt;0,"Excess Provision to be Reversed","Additional Provision Required")</f>
        <v>Additional Provision Required</v>
      </c>
      <c r="H42" s="767"/>
      <c r="I42" s="767"/>
      <c r="J42" s="409">
        <f>IF(J41=0,0,J41-J40)</f>
        <v>0</v>
      </c>
    </row>
    <row r="43" spans="1:12" x14ac:dyDescent="0.3">
      <c r="G43" s="768"/>
      <c r="H43" s="768"/>
      <c r="I43" s="768"/>
      <c r="J43" s="768"/>
    </row>
    <row r="44" spans="1:12" ht="16.2" customHeight="1" thickBot="1" x14ac:dyDescent="0.35">
      <c r="G44" s="755" t="s">
        <v>151</v>
      </c>
      <c r="H44" s="755"/>
      <c r="I44" s="755"/>
      <c r="J44" s="268">
        <f>J36-J42</f>
        <v>161038.47604753973</v>
      </c>
    </row>
    <row r="45" spans="1:12" x14ac:dyDescent="0.3">
      <c r="G45" s="756"/>
      <c r="H45" s="756"/>
      <c r="I45" s="756"/>
      <c r="J45" s="756"/>
    </row>
    <row r="46" spans="1:12" x14ac:dyDescent="0.3">
      <c r="G46" s="757" t="s">
        <v>33</v>
      </c>
      <c r="H46" s="757"/>
      <c r="I46" s="757"/>
      <c r="J46" s="269">
        <f>J40+J44-J41</f>
        <v>856512.66231423395</v>
      </c>
      <c r="K46" s="1"/>
      <c r="L46" s="426"/>
    </row>
    <row r="47" spans="1:12" ht="14.4" x14ac:dyDescent="0.3">
      <c r="J47" s="326"/>
    </row>
    <row r="48" spans="1:12" x14ac:dyDescent="0.3">
      <c r="J48" s="327"/>
    </row>
  </sheetData>
  <mergeCells count="15">
    <mergeCell ref="G44:I44"/>
    <mergeCell ref="G45:J45"/>
    <mergeCell ref="G46:I46"/>
    <mergeCell ref="G38:I38"/>
    <mergeCell ref="G39:I39"/>
    <mergeCell ref="G40:I40"/>
    <mergeCell ref="G41:I41"/>
    <mergeCell ref="G42:I42"/>
    <mergeCell ref="G43:J43"/>
    <mergeCell ref="A1:J1"/>
    <mergeCell ref="A2:I2"/>
    <mergeCell ref="A3:J3"/>
    <mergeCell ref="A4:A5"/>
    <mergeCell ref="H4:H5"/>
    <mergeCell ref="A37:J37"/>
  </mergeCells>
  <printOptions horizontalCentered="1" verticalCentered="1"/>
  <pageMargins left="0.75" right="0.75" top="0.5" bottom="0.5" header="0.5" footer="0.5"/>
  <pageSetup orientation="landscape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8CF62-9DE7-472F-9DBB-57634A1DBD2E}">
  <sheetPr codeName="Sheet6">
    <pageSetUpPr fitToPage="1"/>
  </sheetPr>
  <dimension ref="A1:M46"/>
  <sheetViews>
    <sheetView showGridLines="0" topLeftCell="A4" zoomScaleNormal="100" workbookViewId="0">
      <selection activeCell="B25" sqref="B25"/>
    </sheetView>
  </sheetViews>
  <sheetFormatPr defaultColWidth="10.6328125" defaultRowHeight="13.8" x14ac:dyDescent="0.3"/>
  <cols>
    <col min="1" max="1" width="9.6328125" style="2" customWidth="1"/>
    <col min="2" max="2" width="12.81640625" style="1" customWidth="1"/>
    <col min="3" max="3" width="10.90625" style="1" bestFit="1" customWidth="1"/>
    <col min="4" max="4" width="11" style="1" customWidth="1"/>
    <col min="5" max="5" width="12" style="1" customWidth="1"/>
    <col min="6" max="6" width="0.90625" style="2" customWidth="1"/>
    <col min="7" max="7" width="7.81640625" style="2" customWidth="1"/>
    <col min="8" max="8" width="8.6328125" style="2" customWidth="1"/>
    <col min="9" max="9" width="9.81640625" style="2" customWidth="1"/>
    <col min="10" max="10" width="11.08984375" style="2" customWidth="1"/>
    <col min="11" max="11" width="11.453125" style="2" bestFit="1" customWidth="1"/>
    <col min="12" max="13" width="11" style="2" bestFit="1" customWidth="1"/>
    <col min="14" max="16384" width="10.6328125" style="2"/>
  </cols>
  <sheetData>
    <row r="1" spans="1:12" ht="18" x14ac:dyDescent="0.35">
      <c r="A1" s="748" t="s">
        <v>35</v>
      </c>
      <c r="B1" s="748"/>
      <c r="C1" s="748"/>
      <c r="D1" s="748"/>
      <c r="E1" s="748"/>
      <c r="F1" s="748"/>
      <c r="G1" s="748"/>
      <c r="H1" s="748"/>
      <c r="I1" s="748"/>
      <c r="J1" s="748"/>
    </row>
    <row r="2" spans="1:12" ht="18.600000000000001" thickBot="1" x14ac:dyDescent="0.4">
      <c r="A2" s="749" t="s">
        <v>120</v>
      </c>
      <c r="B2" s="749"/>
      <c r="C2" s="749"/>
      <c r="D2" s="749"/>
      <c r="E2" s="749"/>
      <c r="F2" s="749"/>
      <c r="G2" s="749"/>
      <c r="H2" s="749"/>
      <c r="I2" s="749"/>
      <c r="J2" s="55">
        <f>'FINANCIAL COST SUMMARY '!I2</f>
        <v>46174</v>
      </c>
    </row>
    <row r="3" spans="1:12" x14ac:dyDescent="0.3">
      <c r="A3" s="750"/>
      <c r="B3" s="750"/>
      <c r="C3" s="750"/>
      <c r="D3" s="750"/>
      <c r="E3" s="750"/>
      <c r="F3" s="750"/>
      <c r="G3" s="750"/>
      <c r="H3" s="750"/>
      <c r="I3" s="750"/>
      <c r="J3" s="750"/>
    </row>
    <row r="4" spans="1:12" ht="15.6" customHeight="1" x14ac:dyDescent="0.3">
      <c r="A4" s="751" t="s">
        <v>4</v>
      </c>
      <c r="B4" s="769" t="s">
        <v>126</v>
      </c>
      <c r="C4" s="100" t="s">
        <v>11</v>
      </c>
      <c r="D4" s="101"/>
      <c r="E4" s="769" t="s">
        <v>127</v>
      </c>
      <c r="G4" s="771" t="s">
        <v>277</v>
      </c>
      <c r="H4" s="775" t="s">
        <v>44</v>
      </c>
      <c r="I4" s="773" t="s">
        <v>124</v>
      </c>
      <c r="J4" s="777" t="s">
        <v>125</v>
      </c>
      <c r="K4" s="107">
        <v>49822784</v>
      </c>
    </row>
    <row r="5" spans="1:12" x14ac:dyDescent="0.3">
      <c r="A5" s="752"/>
      <c r="B5" s="770"/>
      <c r="C5" s="102" t="s">
        <v>12</v>
      </c>
      <c r="D5" s="102" t="s">
        <v>13</v>
      </c>
      <c r="E5" s="770"/>
      <c r="G5" s="772"/>
      <c r="H5" s="776"/>
      <c r="I5" s="774"/>
      <c r="J5" s="778"/>
    </row>
    <row r="6" spans="1:12" x14ac:dyDescent="0.3">
      <c r="A6" s="5">
        <v>46174</v>
      </c>
      <c r="B6" s="72">
        <v>49822784</v>
      </c>
      <c r="C6" s="99"/>
      <c r="D6" s="10"/>
      <c r="E6" s="4">
        <f>SUM(B6:D6)</f>
        <v>49822784</v>
      </c>
      <c r="G6" s="11">
        <v>5.0000000000000001E-3</v>
      </c>
      <c r="H6" s="12">
        <v>0.1129</v>
      </c>
      <c r="I6" s="13">
        <f>+H6+G6</f>
        <v>0.1179</v>
      </c>
      <c r="J6" s="14">
        <f>IF(E6&lt;0,0,E6*I6/365)</f>
        <v>16093.44173589041</v>
      </c>
      <c r="K6" s="1">
        <f>E6-K4</f>
        <v>0</v>
      </c>
    </row>
    <row r="7" spans="1:12" x14ac:dyDescent="0.3">
      <c r="A7" s="5">
        <f>A6+1</f>
        <v>46175</v>
      </c>
      <c r="B7" s="72">
        <f>-'[3]02 June'!$H$15</f>
        <v>49822784</v>
      </c>
      <c r="C7" s="10"/>
      <c r="D7" s="10"/>
      <c r="E7" s="4">
        <f t="shared" ref="E7:E34" si="0">SUM(B7:D7)</f>
        <v>49822784</v>
      </c>
      <c r="G7" s="11">
        <v>5.0000000000000001E-3</v>
      </c>
      <c r="H7" s="12">
        <v>0.1129</v>
      </c>
      <c r="I7" s="13">
        <f>+H7+G7</f>
        <v>0.1179</v>
      </c>
      <c r="J7" s="14">
        <f t="shared" ref="J7:J34" si="1">IF(E7&lt;0,0,E7*I7/365)</f>
        <v>16093.44173589041</v>
      </c>
      <c r="K7" s="1">
        <f>E7-K4</f>
        <v>0</v>
      </c>
    </row>
    <row r="8" spans="1:12" x14ac:dyDescent="0.3">
      <c r="A8" s="5">
        <f t="shared" ref="A8:A35" si="2">A7+1</f>
        <v>46176</v>
      </c>
      <c r="B8" s="72">
        <f>-'[3]03 June'!$H$15</f>
        <v>49822784</v>
      </c>
      <c r="C8" s="10"/>
      <c r="D8" s="10"/>
      <c r="E8" s="4">
        <f t="shared" si="0"/>
        <v>49822784</v>
      </c>
      <c r="G8" s="11">
        <v>5.0000000000000001E-3</v>
      </c>
      <c r="H8" s="12">
        <v>0.1129</v>
      </c>
      <c r="I8" s="13">
        <f t="shared" ref="I8:I31" si="3">+H8+G8</f>
        <v>0.1179</v>
      </c>
      <c r="J8" s="14">
        <f t="shared" si="1"/>
        <v>16093.44173589041</v>
      </c>
      <c r="K8" s="69">
        <f>+E8-E7</f>
        <v>0</v>
      </c>
    </row>
    <row r="9" spans="1:12" x14ac:dyDescent="0.3">
      <c r="A9" s="5">
        <f t="shared" si="2"/>
        <v>46177</v>
      </c>
      <c r="B9" s="72">
        <f>-'[3]04 June'!$H$15</f>
        <v>49822784</v>
      </c>
      <c r="C9" s="10"/>
      <c r="D9" s="10"/>
      <c r="E9" s="4">
        <f t="shared" si="0"/>
        <v>49822784</v>
      </c>
      <c r="G9" s="11">
        <v>5.0000000000000001E-3</v>
      </c>
      <c r="H9" s="12">
        <v>0.1129</v>
      </c>
      <c r="I9" s="13">
        <f t="shared" si="3"/>
        <v>0.1179</v>
      </c>
      <c r="J9" s="14">
        <f t="shared" si="1"/>
        <v>16093.44173589041</v>
      </c>
      <c r="K9" s="69">
        <f t="shared" ref="K9:K33" si="4">+E9-E8</f>
        <v>0</v>
      </c>
      <c r="L9" s="69"/>
    </row>
    <row r="10" spans="1:12" x14ac:dyDescent="0.3">
      <c r="A10" s="5">
        <f t="shared" si="2"/>
        <v>46178</v>
      </c>
      <c r="B10" s="72">
        <f>-'[3]05 June'!$H$15</f>
        <v>49822784</v>
      </c>
      <c r="C10" s="71"/>
      <c r="D10" s="4"/>
      <c r="E10" s="4">
        <f t="shared" si="0"/>
        <v>49822784</v>
      </c>
      <c r="G10" s="11">
        <v>5.0000000000000001E-3</v>
      </c>
      <c r="H10" s="12">
        <v>0.1129</v>
      </c>
      <c r="I10" s="13">
        <f t="shared" si="3"/>
        <v>0.1179</v>
      </c>
      <c r="J10" s="14">
        <f t="shared" si="1"/>
        <v>16093.44173589041</v>
      </c>
      <c r="K10" s="69">
        <f t="shared" si="4"/>
        <v>0</v>
      </c>
    </row>
    <row r="11" spans="1:12" x14ac:dyDescent="0.3">
      <c r="A11" s="5">
        <f t="shared" si="2"/>
        <v>46179</v>
      </c>
      <c r="B11" s="72">
        <f>-'[3]05 June'!$H$15</f>
        <v>49822784</v>
      </c>
      <c r="C11" s="9"/>
      <c r="D11" s="70"/>
      <c r="E11" s="4">
        <f t="shared" si="0"/>
        <v>49822784</v>
      </c>
      <c r="G11" s="11">
        <v>5.0000000000000001E-3</v>
      </c>
      <c r="H11" s="12">
        <v>0.1129</v>
      </c>
      <c r="I11" s="13">
        <f t="shared" si="3"/>
        <v>0.1179</v>
      </c>
      <c r="J11" s="14">
        <f t="shared" si="1"/>
        <v>16093.44173589041</v>
      </c>
      <c r="K11" s="69">
        <f t="shared" si="4"/>
        <v>0</v>
      </c>
    </row>
    <row r="12" spans="1:12" x14ac:dyDescent="0.3">
      <c r="A12" s="5">
        <f t="shared" si="2"/>
        <v>46180</v>
      </c>
      <c r="B12" s="72">
        <f>-'[3]05 June'!$H$15</f>
        <v>49822784</v>
      </c>
      <c r="C12" s="4"/>
      <c r="D12" s="4"/>
      <c r="E12" s="4">
        <f t="shared" si="0"/>
        <v>49822784</v>
      </c>
      <c r="G12" s="11">
        <v>5.0000000000000001E-3</v>
      </c>
      <c r="H12" s="12">
        <v>0.1129</v>
      </c>
      <c r="I12" s="13">
        <f t="shared" si="3"/>
        <v>0.1179</v>
      </c>
      <c r="J12" s="14">
        <f t="shared" si="1"/>
        <v>16093.44173589041</v>
      </c>
      <c r="K12" s="69">
        <f t="shared" si="4"/>
        <v>0</v>
      </c>
    </row>
    <row r="13" spans="1:12" x14ac:dyDescent="0.3">
      <c r="A13" s="5">
        <f t="shared" si="2"/>
        <v>46181</v>
      </c>
      <c r="B13" s="72">
        <f>-'[3]08 June'!$H$15</f>
        <v>49822784</v>
      </c>
      <c r="C13" s="70"/>
      <c r="D13" s="4"/>
      <c r="E13" s="4">
        <f t="shared" si="0"/>
        <v>49822784</v>
      </c>
      <c r="G13" s="11">
        <v>5.0000000000000001E-3</v>
      </c>
      <c r="H13" s="12">
        <v>0.1129</v>
      </c>
      <c r="I13" s="13">
        <f t="shared" si="3"/>
        <v>0.1179</v>
      </c>
      <c r="J13" s="14">
        <f t="shared" si="1"/>
        <v>16093.44173589041</v>
      </c>
      <c r="K13" s="69">
        <f t="shared" si="4"/>
        <v>0</v>
      </c>
      <c r="L13" s="69"/>
    </row>
    <row r="14" spans="1:12" x14ac:dyDescent="0.3">
      <c r="A14" s="5">
        <f t="shared" si="2"/>
        <v>46182</v>
      </c>
      <c r="B14" s="72">
        <f>-'[3]09 June'!$H$15</f>
        <v>49822784</v>
      </c>
      <c r="C14" s="70"/>
      <c r="D14" s="4"/>
      <c r="E14" s="4">
        <f t="shared" si="0"/>
        <v>49822784</v>
      </c>
      <c r="G14" s="11">
        <v>5.0000000000000001E-3</v>
      </c>
      <c r="H14" s="12">
        <v>0.1129</v>
      </c>
      <c r="I14" s="13">
        <f t="shared" si="3"/>
        <v>0.1179</v>
      </c>
      <c r="J14" s="14">
        <f t="shared" si="1"/>
        <v>16093.44173589041</v>
      </c>
      <c r="K14" s="69">
        <f t="shared" si="4"/>
        <v>0</v>
      </c>
    </row>
    <row r="15" spans="1:12" x14ac:dyDescent="0.3">
      <c r="A15" s="5">
        <f t="shared" si="2"/>
        <v>46183</v>
      </c>
      <c r="B15" s="72">
        <f>-'[3]10 June'!$H$15</f>
        <v>49822784</v>
      </c>
      <c r="C15" s="70"/>
      <c r="D15" s="4"/>
      <c r="E15" s="4">
        <f t="shared" si="0"/>
        <v>49822784</v>
      </c>
      <c r="G15" s="11">
        <v>5.0000000000000001E-3</v>
      </c>
      <c r="H15" s="12">
        <v>0.1129</v>
      </c>
      <c r="I15" s="13">
        <f t="shared" si="3"/>
        <v>0.1179</v>
      </c>
      <c r="J15" s="14">
        <f t="shared" si="1"/>
        <v>16093.44173589041</v>
      </c>
      <c r="K15" s="69">
        <f t="shared" si="4"/>
        <v>0</v>
      </c>
    </row>
    <row r="16" spans="1:12" x14ac:dyDescent="0.3">
      <c r="A16" s="5">
        <f t="shared" si="2"/>
        <v>46184</v>
      </c>
      <c r="B16" s="72">
        <f>-'[3]11 June'!$H$15</f>
        <v>49822784</v>
      </c>
      <c r="C16" s="70"/>
      <c r="D16" s="4"/>
      <c r="E16" s="4">
        <f t="shared" si="0"/>
        <v>49822784</v>
      </c>
      <c r="G16" s="11">
        <v>5.0000000000000001E-3</v>
      </c>
      <c r="H16" s="12">
        <v>0.1129</v>
      </c>
      <c r="I16" s="13">
        <f t="shared" si="3"/>
        <v>0.1179</v>
      </c>
      <c r="J16" s="14">
        <f t="shared" si="1"/>
        <v>16093.44173589041</v>
      </c>
      <c r="K16" s="69">
        <f t="shared" si="4"/>
        <v>0</v>
      </c>
    </row>
    <row r="17" spans="1:13" x14ac:dyDescent="0.3">
      <c r="A17" s="5">
        <f t="shared" si="2"/>
        <v>46185</v>
      </c>
      <c r="B17" s="72">
        <f>-'[3]12 June'!$H$15</f>
        <v>49822784</v>
      </c>
      <c r="C17" s="4"/>
      <c r="D17" s="4"/>
      <c r="E17" s="4">
        <f t="shared" si="0"/>
        <v>49822784</v>
      </c>
      <c r="G17" s="11">
        <v>5.0000000000000001E-3</v>
      </c>
      <c r="H17" s="12">
        <v>0.1129</v>
      </c>
      <c r="I17" s="13">
        <f t="shared" si="3"/>
        <v>0.1179</v>
      </c>
      <c r="J17" s="14">
        <f t="shared" si="1"/>
        <v>16093.44173589041</v>
      </c>
      <c r="K17" s="69">
        <f t="shared" si="4"/>
        <v>0</v>
      </c>
    </row>
    <row r="18" spans="1:13" x14ac:dyDescent="0.3">
      <c r="A18" s="5">
        <f t="shared" si="2"/>
        <v>46186</v>
      </c>
      <c r="B18" s="72">
        <f t="shared" ref="B18:B35" si="5">B17</f>
        <v>49822784</v>
      </c>
      <c r="C18" s="4"/>
      <c r="D18" s="4"/>
      <c r="E18" s="4">
        <f t="shared" si="0"/>
        <v>49822784</v>
      </c>
      <c r="G18" s="11">
        <v>5.0000000000000001E-3</v>
      </c>
      <c r="H18" s="12">
        <v>0.1129</v>
      </c>
      <c r="I18" s="13">
        <f t="shared" si="3"/>
        <v>0.1179</v>
      </c>
      <c r="J18" s="14">
        <f t="shared" si="1"/>
        <v>16093.44173589041</v>
      </c>
      <c r="K18" s="69">
        <f t="shared" si="4"/>
        <v>0</v>
      </c>
    </row>
    <row r="19" spans="1:13" x14ac:dyDescent="0.3">
      <c r="A19" s="5">
        <f t="shared" si="2"/>
        <v>46187</v>
      </c>
      <c r="B19" s="72">
        <f t="shared" si="5"/>
        <v>49822784</v>
      </c>
      <c r="C19" s="4"/>
      <c r="D19" s="4"/>
      <c r="E19" s="4">
        <f t="shared" si="0"/>
        <v>49822784</v>
      </c>
      <c r="G19" s="11">
        <v>5.0000000000000001E-3</v>
      </c>
      <c r="H19" s="12">
        <v>0.1129</v>
      </c>
      <c r="I19" s="13">
        <f t="shared" si="3"/>
        <v>0.1179</v>
      </c>
      <c r="J19" s="14">
        <f t="shared" si="1"/>
        <v>16093.44173589041</v>
      </c>
      <c r="K19" s="69">
        <f t="shared" si="4"/>
        <v>0</v>
      </c>
      <c r="M19" s="69"/>
    </row>
    <row r="20" spans="1:13" x14ac:dyDescent="0.3">
      <c r="A20" s="5">
        <f t="shared" si="2"/>
        <v>46188</v>
      </c>
      <c r="B20" s="72">
        <f t="shared" si="5"/>
        <v>49822784</v>
      </c>
      <c r="C20" s="4"/>
      <c r="D20" s="4"/>
      <c r="E20" s="4">
        <f t="shared" si="0"/>
        <v>49822784</v>
      </c>
      <c r="G20" s="11">
        <v>5.0000000000000001E-3</v>
      </c>
      <c r="H20" s="12">
        <v>0.1129</v>
      </c>
      <c r="I20" s="13">
        <f t="shared" si="3"/>
        <v>0.1179</v>
      </c>
      <c r="J20" s="14">
        <f t="shared" si="1"/>
        <v>16093.44173589041</v>
      </c>
      <c r="K20" s="69">
        <f t="shared" si="4"/>
        <v>0</v>
      </c>
    </row>
    <row r="21" spans="1:13" x14ac:dyDescent="0.3">
      <c r="A21" s="5">
        <f t="shared" si="2"/>
        <v>46189</v>
      </c>
      <c r="B21" s="72">
        <f t="shared" si="5"/>
        <v>49822784</v>
      </c>
      <c r="C21" s="4"/>
      <c r="D21" s="4"/>
      <c r="E21" s="4">
        <f t="shared" si="0"/>
        <v>49822784</v>
      </c>
      <c r="G21" s="11">
        <v>5.0000000000000001E-3</v>
      </c>
      <c r="H21" s="12">
        <v>0.1129</v>
      </c>
      <c r="I21" s="13">
        <f t="shared" si="3"/>
        <v>0.1179</v>
      </c>
      <c r="J21" s="14">
        <f t="shared" si="1"/>
        <v>16093.44173589041</v>
      </c>
      <c r="K21" s="69">
        <f t="shared" si="4"/>
        <v>0</v>
      </c>
    </row>
    <row r="22" spans="1:13" x14ac:dyDescent="0.3">
      <c r="A22" s="5">
        <f t="shared" si="2"/>
        <v>46190</v>
      </c>
      <c r="B22" s="72">
        <f t="shared" si="5"/>
        <v>49822784</v>
      </c>
      <c r="C22" s="4"/>
      <c r="D22" s="4"/>
      <c r="E22" s="4">
        <f t="shared" si="0"/>
        <v>49822784</v>
      </c>
      <c r="G22" s="11">
        <v>5.0000000000000001E-3</v>
      </c>
      <c r="H22" s="12">
        <v>0.1129</v>
      </c>
      <c r="I22" s="13">
        <f t="shared" si="3"/>
        <v>0.1179</v>
      </c>
      <c r="J22" s="14">
        <f t="shared" si="1"/>
        <v>16093.44173589041</v>
      </c>
      <c r="K22" s="69">
        <f t="shared" si="4"/>
        <v>0</v>
      </c>
    </row>
    <row r="23" spans="1:13" x14ac:dyDescent="0.3">
      <c r="A23" s="5">
        <f t="shared" si="2"/>
        <v>46191</v>
      </c>
      <c r="B23" s="72">
        <f t="shared" si="5"/>
        <v>49822784</v>
      </c>
      <c r="C23" s="70"/>
      <c r="D23" s="4"/>
      <c r="E23" s="4">
        <f t="shared" si="0"/>
        <v>49822784</v>
      </c>
      <c r="G23" s="11">
        <v>5.0000000000000001E-3</v>
      </c>
      <c r="H23" s="12">
        <v>0.1129</v>
      </c>
      <c r="I23" s="13">
        <f t="shared" si="3"/>
        <v>0.1179</v>
      </c>
      <c r="J23" s="14">
        <f t="shared" si="1"/>
        <v>16093.44173589041</v>
      </c>
      <c r="K23" s="69">
        <f t="shared" si="4"/>
        <v>0</v>
      </c>
    </row>
    <row r="24" spans="1:13" x14ac:dyDescent="0.3">
      <c r="A24" s="5">
        <f t="shared" si="2"/>
        <v>46192</v>
      </c>
      <c r="B24" s="72">
        <f t="shared" si="5"/>
        <v>49822784</v>
      </c>
      <c r="C24" s="4"/>
      <c r="D24" s="4"/>
      <c r="E24" s="4">
        <f t="shared" si="0"/>
        <v>49822784</v>
      </c>
      <c r="G24" s="11">
        <v>5.0000000000000001E-3</v>
      </c>
      <c r="H24" s="12">
        <v>0.1129</v>
      </c>
      <c r="I24" s="13">
        <f t="shared" si="3"/>
        <v>0.1179</v>
      </c>
      <c r="J24" s="14">
        <f t="shared" si="1"/>
        <v>16093.44173589041</v>
      </c>
      <c r="K24" s="69">
        <f t="shared" si="4"/>
        <v>0</v>
      </c>
    </row>
    <row r="25" spans="1:13" x14ac:dyDescent="0.3">
      <c r="A25" s="5">
        <f t="shared" si="2"/>
        <v>46193</v>
      </c>
      <c r="B25" s="72">
        <f>-'[3]20 June'!$H$15</f>
        <v>49822784</v>
      </c>
      <c r="C25" s="4"/>
      <c r="D25" s="4"/>
      <c r="E25" s="4">
        <f t="shared" si="0"/>
        <v>49822784</v>
      </c>
      <c r="G25" s="11">
        <v>5.0000000000000001E-3</v>
      </c>
      <c r="H25" s="12">
        <v>0.1129</v>
      </c>
      <c r="I25" s="13">
        <f t="shared" si="3"/>
        <v>0.1179</v>
      </c>
      <c r="J25" s="14">
        <f t="shared" si="1"/>
        <v>16093.44173589041</v>
      </c>
      <c r="K25" s="69">
        <f t="shared" si="4"/>
        <v>0</v>
      </c>
    </row>
    <row r="26" spans="1:13" x14ac:dyDescent="0.3">
      <c r="A26" s="5">
        <f t="shared" si="2"/>
        <v>46194</v>
      </c>
      <c r="B26" s="72">
        <f t="shared" si="5"/>
        <v>49822784</v>
      </c>
      <c r="C26" s="4"/>
      <c r="D26" s="4"/>
      <c r="E26" s="4">
        <f t="shared" si="0"/>
        <v>49822784</v>
      </c>
      <c r="G26" s="11">
        <v>5.0000000000000001E-3</v>
      </c>
      <c r="H26" s="12">
        <v>0.1129</v>
      </c>
      <c r="I26" s="13">
        <f t="shared" si="3"/>
        <v>0.1179</v>
      </c>
      <c r="J26" s="14">
        <f t="shared" si="1"/>
        <v>16093.44173589041</v>
      </c>
      <c r="K26" s="69">
        <f t="shared" si="4"/>
        <v>0</v>
      </c>
    </row>
    <row r="27" spans="1:13" x14ac:dyDescent="0.3">
      <c r="A27" s="5">
        <f t="shared" si="2"/>
        <v>46195</v>
      </c>
      <c r="B27" s="72">
        <f t="shared" si="5"/>
        <v>49822784</v>
      </c>
      <c r="C27" s="4"/>
      <c r="D27" s="4"/>
      <c r="E27" s="4">
        <f t="shared" si="0"/>
        <v>49822784</v>
      </c>
      <c r="G27" s="11">
        <v>5.0000000000000001E-3</v>
      </c>
      <c r="H27" s="12">
        <v>0.1129</v>
      </c>
      <c r="I27" s="13">
        <f t="shared" si="3"/>
        <v>0.1179</v>
      </c>
      <c r="J27" s="14">
        <f t="shared" si="1"/>
        <v>16093.44173589041</v>
      </c>
      <c r="K27" s="69">
        <f t="shared" si="4"/>
        <v>0</v>
      </c>
    </row>
    <row r="28" spans="1:13" x14ac:dyDescent="0.3">
      <c r="A28" s="5">
        <f t="shared" si="2"/>
        <v>46196</v>
      </c>
      <c r="B28" s="72">
        <f t="shared" si="5"/>
        <v>49822784</v>
      </c>
      <c r="C28" s="4"/>
      <c r="D28" s="4"/>
      <c r="E28" s="4">
        <f t="shared" si="0"/>
        <v>49822784</v>
      </c>
      <c r="G28" s="11">
        <v>5.0000000000000001E-3</v>
      </c>
      <c r="H28" s="12">
        <v>0.1129</v>
      </c>
      <c r="I28" s="13">
        <f t="shared" si="3"/>
        <v>0.1179</v>
      </c>
      <c r="J28" s="14">
        <f t="shared" si="1"/>
        <v>16093.44173589041</v>
      </c>
      <c r="K28" s="69">
        <f t="shared" si="4"/>
        <v>0</v>
      </c>
    </row>
    <row r="29" spans="1:13" x14ac:dyDescent="0.3">
      <c r="A29" s="5">
        <f t="shared" si="2"/>
        <v>46197</v>
      </c>
      <c r="B29" s="72">
        <f t="shared" si="5"/>
        <v>49822784</v>
      </c>
      <c r="C29" s="4"/>
      <c r="D29" s="4"/>
      <c r="E29" s="4">
        <f t="shared" si="0"/>
        <v>49822784</v>
      </c>
      <c r="G29" s="11">
        <v>5.0000000000000001E-3</v>
      </c>
      <c r="H29" s="12">
        <v>0.1129</v>
      </c>
      <c r="I29" s="13">
        <f t="shared" si="3"/>
        <v>0.1179</v>
      </c>
      <c r="J29" s="14">
        <f t="shared" si="1"/>
        <v>16093.44173589041</v>
      </c>
      <c r="K29" s="69">
        <f t="shared" si="4"/>
        <v>0</v>
      </c>
    </row>
    <row r="30" spans="1:13" x14ac:dyDescent="0.3">
      <c r="A30" s="5">
        <f t="shared" si="2"/>
        <v>46198</v>
      </c>
      <c r="B30" s="72">
        <f t="shared" si="5"/>
        <v>49822784</v>
      </c>
      <c r="C30" s="4"/>
      <c r="D30" s="4"/>
      <c r="E30" s="4">
        <f t="shared" si="0"/>
        <v>49822784</v>
      </c>
      <c r="G30" s="11">
        <v>5.0000000000000001E-3</v>
      </c>
      <c r="H30" s="12">
        <v>0.1129</v>
      </c>
      <c r="I30" s="13">
        <f t="shared" si="3"/>
        <v>0.1179</v>
      </c>
      <c r="J30" s="14">
        <f t="shared" si="1"/>
        <v>16093.44173589041</v>
      </c>
      <c r="K30" s="69">
        <f t="shared" si="4"/>
        <v>0</v>
      </c>
    </row>
    <row r="31" spans="1:13" x14ac:dyDescent="0.3">
      <c r="A31" s="5">
        <f t="shared" si="2"/>
        <v>46199</v>
      </c>
      <c r="B31" s="72">
        <f t="shared" si="5"/>
        <v>49822784</v>
      </c>
      <c r="C31" s="4"/>
      <c r="D31" s="4"/>
      <c r="E31" s="4">
        <f t="shared" si="0"/>
        <v>49822784</v>
      </c>
      <c r="G31" s="11">
        <v>5.0000000000000001E-3</v>
      </c>
      <c r="H31" s="12">
        <v>0.1129</v>
      </c>
      <c r="I31" s="13">
        <f t="shared" si="3"/>
        <v>0.1179</v>
      </c>
      <c r="J31" s="14">
        <f t="shared" si="1"/>
        <v>16093.44173589041</v>
      </c>
      <c r="K31" s="69">
        <f t="shared" si="4"/>
        <v>0</v>
      </c>
    </row>
    <row r="32" spans="1:13" x14ac:dyDescent="0.3">
      <c r="A32" s="5">
        <f t="shared" si="2"/>
        <v>46200</v>
      </c>
      <c r="B32" s="72">
        <f t="shared" si="5"/>
        <v>49822784</v>
      </c>
      <c r="C32" s="4"/>
      <c r="D32" s="4"/>
      <c r="E32" s="4">
        <f t="shared" si="0"/>
        <v>49822784</v>
      </c>
      <c r="G32" s="11">
        <v>5.0000000000000001E-3</v>
      </c>
      <c r="H32" s="12">
        <v>0.1129</v>
      </c>
      <c r="I32" s="13">
        <f>+H32+G32</f>
        <v>0.1179</v>
      </c>
      <c r="J32" s="14">
        <f t="shared" si="1"/>
        <v>16093.44173589041</v>
      </c>
      <c r="K32" s="69">
        <f t="shared" si="4"/>
        <v>0</v>
      </c>
    </row>
    <row r="33" spans="1:13" x14ac:dyDescent="0.3">
      <c r="A33" s="5">
        <f t="shared" si="2"/>
        <v>46201</v>
      </c>
      <c r="B33" s="72">
        <f t="shared" si="5"/>
        <v>49822784</v>
      </c>
      <c r="C33" s="4"/>
      <c r="D33" s="4"/>
      <c r="E33" s="4">
        <f t="shared" si="0"/>
        <v>49822784</v>
      </c>
      <c r="G33" s="11">
        <v>5.0000000000000001E-3</v>
      </c>
      <c r="H33" s="12">
        <v>0.1129</v>
      </c>
      <c r="I33" s="13">
        <f>+H33+G33</f>
        <v>0.1179</v>
      </c>
      <c r="J33" s="14">
        <f t="shared" si="1"/>
        <v>16093.44173589041</v>
      </c>
      <c r="K33" s="69">
        <f t="shared" si="4"/>
        <v>0</v>
      </c>
    </row>
    <row r="34" spans="1:13" x14ac:dyDescent="0.3">
      <c r="A34" s="614">
        <f t="shared" si="2"/>
        <v>46202</v>
      </c>
      <c r="B34" s="72">
        <f t="shared" si="5"/>
        <v>49822784</v>
      </c>
      <c r="C34" s="96"/>
      <c r="D34" s="96"/>
      <c r="E34" s="96">
        <f t="shared" si="0"/>
        <v>49822784</v>
      </c>
      <c r="F34" s="59"/>
      <c r="G34" s="11">
        <v>5.0000000000000001E-3</v>
      </c>
      <c r="H34" s="12">
        <v>0.1129</v>
      </c>
      <c r="I34" s="13">
        <f>+H34+G34</f>
        <v>0.1179</v>
      </c>
      <c r="J34" s="14">
        <f t="shared" si="1"/>
        <v>16093.44173589041</v>
      </c>
      <c r="K34" s="69">
        <f>+E34-E33</f>
        <v>0</v>
      </c>
    </row>
    <row r="35" spans="1:13" x14ac:dyDescent="0.3">
      <c r="A35" s="614">
        <f t="shared" si="2"/>
        <v>46203</v>
      </c>
      <c r="B35" s="72">
        <f t="shared" si="5"/>
        <v>49822784</v>
      </c>
      <c r="C35" s="96"/>
      <c r="D35" s="96"/>
      <c r="E35" s="96">
        <f>SUM(B35:D35)</f>
        <v>49822784</v>
      </c>
      <c r="F35" s="59"/>
      <c r="G35" s="11">
        <v>5.0000000000000001E-3</v>
      </c>
      <c r="H35" s="12">
        <v>0.1129</v>
      </c>
      <c r="I35" s="13">
        <f>+H35+G35</f>
        <v>0.1179</v>
      </c>
      <c r="J35" s="14">
        <f>IF(E35&lt;0,0,E35*I35/365)</f>
        <v>16093.44173589041</v>
      </c>
      <c r="K35" s="69">
        <f>+E35-E34</f>
        <v>0</v>
      </c>
    </row>
    <row r="36" spans="1:13" x14ac:dyDescent="0.3">
      <c r="G36" s="779"/>
      <c r="H36" s="780"/>
      <c r="I36" s="16"/>
      <c r="J36" s="15">
        <f>SUM(J6:J35)</f>
        <v>482803.25207671215</v>
      </c>
      <c r="K36" s="69"/>
    </row>
    <row r="37" spans="1:13" x14ac:dyDescent="0.3">
      <c r="A37" s="739"/>
      <c r="B37" s="739"/>
      <c r="C37" s="739"/>
      <c r="D37" s="739"/>
      <c r="E37" s="739"/>
      <c r="F37" s="739"/>
      <c r="G37" s="739"/>
      <c r="H37" s="739"/>
      <c r="I37" s="739"/>
      <c r="J37" s="739"/>
      <c r="K37" s="69"/>
    </row>
    <row r="38" spans="1:13" x14ac:dyDescent="0.3">
      <c r="G38" s="747" t="s">
        <v>24</v>
      </c>
      <c r="H38" s="747"/>
      <c r="I38" s="747"/>
    </row>
    <row r="39" spans="1:13" x14ac:dyDescent="0.3">
      <c r="G39" s="768"/>
      <c r="H39" s="768"/>
      <c r="I39" s="768"/>
      <c r="J39" s="207" t="s">
        <v>0</v>
      </c>
    </row>
    <row r="40" spans="1:13" x14ac:dyDescent="0.3">
      <c r="G40" s="743" t="s">
        <v>19</v>
      </c>
      <c r="H40" s="743"/>
      <c r="I40" s="743"/>
      <c r="J40" s="208">
        <f>'[2]BOP-RF'!$J$47</f>
        <v>722734.2303386298</v>
      </c>
      <c r="K40" s="59"/>
    </row>
    <row r="41" spans="1:13" x14ac:dyDescent="0.3">
      <c r="G41" s="743" t="s">
        <v>42</v>
      </c>
      <c r="H41" s="743"/>
      <c r="I41" s="743"/>
      <c r="J41" s="228"/>
      <c r="K41" s="131"/>
    </row>
    <row r="42" spans="1:13" x14ac:dyDescent="0.3">
      <c r="B42" s="2"/>
      <c r="D42" s="2"/>
      <c r="G42" s="781" t="str">
        <f>IF(J42&lt;0,"Excess Provision to be Reversed","Additional Provision Required")</f>
        <v>Additional Provision Required</v>
      </c>
      <c r="H42" s="781"/>
      <c r="I42" s="781"/>
      <c r="J42" s="209">
        <f>IF(J41=0,0,J41-J40)</f>
        <v>0</v>
      </c>
      <c r="M42" s="69"/>
    </row>
    <row r="43" spans="1:13" x14ac:dyDescent="0.3">
      <c r="G43" s="745"/>
      <c r="H43" s="745"/>
      <c r="I43" s="745"/>
      <c r="J43" s="745"/>
    </row>
    <row r="44" spans="1:13" ht="16.2" customHeight="1" thickBot="1" x14ac:dyDescent="0.35">
      <c r="G44" s="755" t="s">
        <v>151</v>
      </c>
      <c r="H44" s="755"/>
      <c r="I44" s="755"/>
      <c r="J44" s="210">
        <f>J36+J42</f>
        <v>482803.25207671215</v>
      </c>
    </row>
    <row r="45" spans="1:13" x14ac:dyDescent="0.3">
      <c r="G45" s="756"/>
      <c r="H45" s="756"/>
      <c r="I45" s="756"/>
      <c r="J45" s="756"/>
    </row>
    <row r="46" spans="1:13" x14ac:dyDescent="0.3">
      <c r="G46" s="782" t="s">
        <v>33</v>
      </c>
      <c r="H46" s="782"/>
      <c r="I46" s="782"/>
      <c r="J46" s="121">
        <f>J40+J44-J41</f>
        <v>1205537.482415342</v>
      </c>
    </row>
  </sheetData>
  <mergeCells count="21">
    <mergeCell ref="G40:I40"/>
    <mergeCell ref="G41:I41"/>
    <mergeCell ref="G42:I42"/>
    <mergeCell ref="G44:I44"/>
    <mergeCell ref="G46:I46"/>
    <mergeCell ref="G43:J43"/>
    <mergeCell ref="G45:J45"/>
    <mergeCell ref="A1:J1"/>
    <mergeCell ref="A2:I2"/>
    <mergeCell ref="A3:J3"/>
    <mergeCell ref="A37:J37"/>
    <mergeCell ref="G38:I38"/>
    <mergeCell ref="H4:H5"/>
    <mergeCell ref="J4:J5"/>
    <mergeCell ref="G36:H36"/>
    <mergeCell ref="G39:I39"/>
    <mergeCell ref="A4:A5"/>
    <mergeCell ref="B4:B5"/>
    <mergeCell ref="E4:E5"/>
    <mergeCell ref="G4:G5"/>
    <mergeCell ref="I4:I5"/>
  </mergeCells>
  <phoneticPr fontId="3" type="noConversion"/>
  <printOptions horizontalCentered="1" verticalCentered="1"/>
  <pageMargins left="0.75" right="0.75" top="0.5" bottom="0.5" header="0.5" footer="0.5"/>
  <pageSetup scale="79" orientation="landscape" horizontalDpi="300" verticalDpi="300" r:id="rId1"/>
  <headerFooter alignWithMargins="0"/>
  <ignoredErrors>
    <ignoredError sqref="E6:E33" formulaRange="1"/>
  </ignoredError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AF06F-EDA9-47FE-991F-6263E3211D0A}">
  <sheetPr codeName="Sheet18">
    <pageSetUpPr fitToPage="1"/>
  </sheetPr>
  <dimension ref="A1:J85"/>
  <sheetViews>
    <sheetView showGridLines="0" zoomScaleNormal="100" workbookViewId="0">
      <selection activeCell="D85" sqref="D85"/>
    </sheetView>
  </sheetViews>
  <sheetFormatPr defaultColWidth="8.90625" defaultRowHeight="13.8" x14ac:dyDescent="0.3"/>
  <cols>
    <col min="1" max="1" width="16.1796875" style="652" customWidth="1"/>
    <col min="2" max="4" width="13.6328125" style="652" customWidth="1"/>
    <col min="5" max="5" width="8.90625" style="652"/>
    <col min="6" max="6" width="8.54296875" style="652" bestFit="1" customWidth="1"/>
    <col min="7" max="7" width="3.1796875" style="652" bestFit="1" customWidth="1"/>
    <col min="8" max="8" width="8.453125" style="652" customWidth="1"/>
    <col min="9" max="10" width="8.90625" style="652"/>
    <col min="11" max="16384" width="8.90625" style="2"/>
  </cols>
  <sheetData>
    <row r="1" spans="1:10" x14ac:dyDescent="0.3">
      <c r="A1" s="681" t="s">
        <v>35</v>
      </c>
      <c r="B1" s="682"/>
      <c r="C1" s="682"/>
      <c r="D1" s="651"/>
    </row>
    <row r="2" spans="1:10" ht="14.4" thickBot="1" x14ac:dyDescent="0.35">
      <c r="A2" s="683" t="s">
        <v>121</v>
      </c>
      <c r="B2" s="684"/>
      <c r="C2" s="684"/>
      <c r="D2" s="685">
        <f>'FINANCIAL COST SUMMARY'!I2</f>
        <v>44228</v>
      </c>
    </row>
    <row r="3" spans="1:10" x14ac:dyDescent="0.3">
      <c r="A3" s="653"/>
      <c r="B3" s="654"/>
      <c r="C3" s="654"/>
      <c r="D3" s="654"/>
    </row>
    <row r="4" spans="1:10" x14ac:dyDescent="0.3">
      <c r="A4" s="783" t="s">
        <v>23</v>
      </c>
      <c r="B4" s="783"/>
      <c r="C4" s="783"/>
      <c r="D4" s="783"/>
    </row>
    <row r="5" spans="1:10" s="103" customFormat="1" ht="54.6" customHeight="1" x14ac:dyDescent="0.25">
      <c r="A5" s="655" t="s">
        <v>4</v>
      </c>
      <c r="B5" s="656" t="s">
        <v>292</v>
      </c>
      <c r="C5" s="656" t="s">
        <v>293</v>
      </c>
      <c r="D5" s="657" t="s">
        <v>0</v>
      </c>
      <c r="E5" s="658"/>
      <c r="F5" s="659">
        <v>46190</v>
      </c>
      <c r="G5" s="658">
        <v>120</v>
      </c>
      <c r="H5" s="659">
        <f>F5+G5</f>
        <v>46310</v>
      </c>
      <c r="I5" s="658"/>
      <c r="J5" s="658"/>
    </row>
    <row r="6" spans="1:10" x14ac:dyDescent="0.3">
      <c r="A6" s="660">
        <v>46174</v>
      </c>
      <c r="B6" s="661"/>
      <c r="C6" s="661"/>
      <c r="D6" s="662">
        <f t="shared" ref="D6:D21" si="0">SUM(B6:B6)</f>
        <v>0</v>
      </c>
      <c r="E6" s="663"/>
      <c r="F6" s="664"/>
      <c r="H6" s="664"/>
    </row>
    <row r="7" spans="1:10" x14ac:dyDescent="0.3">
      <c r="A7" s="660">
        <f>A6+1</f>
        <v>46175</v>
      </c>
      <c r="B7" s="661"/>
      <c r="C7" s="661"/>
      <c r="D7" s="662">
        <f t="shared" si="0"/>
        <v>0</v>
      </c>
      <c r="E7" s="664"/>
      <c r="F7" s="665"/>
      <c r="G7" s="664"/>
      <c r="H7" s="664"/>
    </row>
    <row r="8" spans="1:10" x14ac:dyDescent="0.3">
      <c r="A8" s="660">
        <f t="shared" ref="A8:A35" si="1">A7+1</f>
        <v>46176</v>
      </c>
      <c r="B8" s="661"/>
      <c r="C8" s="661"/>
      <c r="D8" s="662">
        <f t="shared" si="0"/>
        <v>0</v>
      </c>
    </row>
    <row r="9" spans="1:10" x14ac:dyDescent="0.3">
      <c r="A9" s="660">
        <f t="shared" si="1"/>
        <v>46177</v>
      </c>
      <c r="B9" s="661"/>
      <c r="C9" s="661"/>
      <c r="D9" s="662">
        <f t="shared" si="0"/>
        <v>0</v>
      </c>
    </row>
    <row r="10" spans="1:10" x14ac:dyDescent="0.3">
      <c r="A10" s="660">
        <f t="shared" si="1"/>
        <v>46178</v>
      </c>
      <c r="B10" s="661"/>
      <c r="C10" s="661"/>
      <c r="D10" s="662">
        <f t="shared" si="0"/>
        <v>0</v>
      </c>
    </row>
    <row r="11" spans="1:10" x14ac:dyDescent="0.3">
      <c r="A11" s="660">
        <f t="shared" si="1"/>
        <v>46179</v>
      </c>
      <c r="B11" s="661"/>
      <c r="C11" s="661"/>
      <c r="D11" s="662">
        <f t="shared" si="0"/>
        <v>0</v>
      </c>
    </row>
    <row r="12" spans="1:10" x14ac:dyDescent="0.3">
      <c r="A12" s="660">
        <f t="shared" si="1"/>
        <v>46180</v>
      </c>
      <c r="B12" s="661"/>
      <c r="C12" s="661"/>
      <c r="D12" s="662">
        <f t="shared" si="0"/>
        <v>0</v>
      </c>
      <c r="E12" s="664"/>
      <c r="G12" s="664"/>
    </row>
    <row r="13" spans="1:10" x14ac:dyDescent="0.3">
      <c r="A13" s="660">
        <f t="shared" si="1"/>
        <v>46181</v>
      </c>
      <c r="B13" s="661"/>
      <c r="C13" s="661"/>
      <c r="D13" s="662">
        <f t="shared" si="0"/>
        <v>0</v>
      </c>
    </row>
    <row r="14" spans="1:10" x14ac:dyDescent="0.3">
      <c r="A14" s="660">
        <f t="shared" si="1"/>
        <v>46182</v>
      </c>
      <c r="B14" s="661"/>
      <c r="C14" s="661"/>
      <c r="D14" s="662">
        <f t="shared" si="0"/>
        <v>0</v>
      </c>
    </row>
    <row r="15" spans="1:10" x14ac:dyDescent="0.3">
      <c r="A15" s="660">
        <f t="shared" si="1"/>
        <v>46183</v>
      </c>
      <c r="B15" s="661"/>
      <c r="C15" s="661"/>
      <c r="D15" s="662">
        <f t="shared" si="0"/>
        <v>0</v>
      </c>
    </row>
    <row r="16" spans="1:10" x14ac:dyDescent="0.3">
      <c r="A16" s="660">
        <f t="shared" si="1"/>
        <v>46184</v>
      </c>
      <c r="B16" s="661"/>
      <c r="C16" s="661"/>
      <c r="D16" s="662">
        <f t="shared" si="0"/>
        <v>0</v>
      </c>
    </row>
    <row r="17" spans="1:4" x14ac:dyDescent="0.3">
      <c r="A17" s="660">
        <f t="shared" si="1"/>
        <v>46185</v>
      </c>
      <c r="B17" s="661"/>
      <c r="C17" s="661"/>
      <c r="D17" s="662">
        <f t="shared" si="0"/>
        <v>0</v>
      </c>
    </row>
    <row r="18" spans="1:4" x14ac:dyDescent="0.3">
      <c r="A18" s="660">
        <f t="shared" si="1"/>
        <v>46186</v>
      </c>
      <c r="B18" s="661"/>
      <c r="C18" s="661"/>
      <c r="D18" s="662">
        <f t="shared" si="0"/>
        <v>0</v>
      </c>
    </row>
    <row r="19" spans="1:4" x14ac:dyDescent="0.3">
      <c r="A19" s="660">
        <f t="shared" si="1"/>
        <v>46187</v>
      </c>
      <c r="B19" s="661"/>
      <c r="C19" s="661"/>
      <c r="D19" s="662">
        <f t="shared" si="0"/>
        <v>0</v>
      </c>
    </row>
    <row r="20" spans="1:4" x14ac:dyDescent="0.3">
      <c r="A20" s="660">
        <f t="shared" si="1"/>
        <v>46188</v>
      </c>
      <c r="B20" s="661"/>
      <c r="C20" s="661"/>
      <c r="D20" s="662">
        <f t="shared" si="0"/>
        <v>0</v>
      </c>
    </row>
    <row r="21" spans="1:4" x14ac:dyDescent="0.3">
      <c r="A21" s="660">
        <f t="shared" si="1"/>
        <v>46189</v>
      </c>
      <c r="B21" s="661"/>
      <c r="C21" s="661"/>
      <c r="D21" s="662">
        <f t="shared" si="0"/>
        <v>0</v>
      </c>
    </row>
    <row r="22" spans="1:4" x14ac:dyDescent="0.3">
      <c r="A22" s="660">
        <f t="shared" si="1"/>
        <v>46190</v>
      </c>
      <c r="B22" s="661">
        <f>17500*279.45</f>
        <v>4890375</v>
      </c>
      <c r="C22" s="661">
        <f>244625*279.45</f>
        <v>68360456.25</v>
      </c>
      <c r="D22" s="662">
        <f>SUM(B22:C22)</f>
        <v>73250831.25</v>
      </c>
    </row>
    <row r="23" spans="1:4" x14ac:dyDescent="0.3">
      <c r="A23" s="660">
        <f t="shared" si="1"/>
        <v>46191</v>
      </c>
      <c r="B23" s="661">
        <f t="shared" ref="B23:B35" si="2">17500*279.45</f>
        <v>4890375</v>
      </c>
      <c r="C23" s="661">
        <f t="shared" ref="C23:C35" si="3">244625*279.45</f>
        <v>68360456.25</v>
      </c>
      <c r="D23" s="662">
        <f t="shared" ref="D23:D35" si="4">SUM(B23:C23)</f>
        <v>73250831.25</v>
      </c>
    </row>
    <row r="24" spans="1:4" x14ac:dyDescent="0.3">
      <c r="A24" s="660">
        <f t="shared" si="1"/>
        <v>46192</v>
      </c>
      <c r="B24" s="661">
        <f t="shared" si="2"/>
        <v>4890375</v>
      </c>
      <c r="C24" s="661">
        <f t="shared" si="3"/>
        <v>68360456.25</v>
      </c>
      <c r="D24" s="662">
        <f t="shared" si="4"/>
        <v>73250831.25</v>
      </c>
    </row>
    <row r="25" spans="1:4" x14ac:dyDescent="0.3">
      <c r="A25" s="660">
        <f t="shared" si="1"/>
        <v>46193</v>
      </c>
      <c r="B25" s="661">
        <f t="shared" si="2"/>
        <v>4890375</v>
      </c>
      <c r="C25" s="661">
        <f t="shared" si="3"/>
        <v>68360456.25</v>
      </c>
      <c r="D25" s="662">
        <f t="shared" si="4"/>
        <v>73250831.25</v>
      </c>
    </row>
    <row r="26" spans="1:4" x14ac:dyDescent="0.3">
      <c r="A26" s="660">
        <f t="shared" si="1"/>
        <v>46194</v>
      </c>
      <c r="B26" s="661">
        <f t="shared" si="2"/>
        <v>4890375</v>
      </c>
      <c r="C26" s="661">
        <f t="shared" si="3"/>
        <v>68360456.25</v>
      </c>
      <c r="D26" s="662">
        <f t="shared" si="4"/>
        <v>73250831.25</v>
      </c>
    </row>
    <row r="27" spans="1:4" x14ac:dyDescent="0.3">
      <c r="A27" s="660">
        <f t="shared" si="1"/>
        <v>46195</v>
      </c>
      <c r="B27" s="661">
        <f t="shared" si="2"/>
        <v>4890375</v>
      </c>
      <c r="C27" s="661">
        <f t="shared" si="3"/>
        <v>68360456.25</v>
      </c>
      <c r="D27" s="662">
        <f t="shared" si="4"/>
        <v>73250831.25</v>
      </c>
    </row>
    <row r="28" spans="1:4" x14ac:dyDescent="0.3">
      <c r="A28" s="660">
        <f t="shared" si="1"/>
        <v>46196</v>
      </c>
      <c r="B28" s="661">
        <f t="shared" si="2"/>
        <v>4890375</v>
      </c>
      <c r="C28" s="661">
        <f t="shared" si="3"/>
        <v>68360456.25</v>
      </c>
      <c r="D28" s="662">
        <f t="shared" si="4"/>
        <v>73250831.25</v>
      </c>
    </row>
    <row r="29" spans="1:4" x14ac:dyDescent="0.3">
      <c r="A29" s="660">
        <f t="shared" si="1"/>
        <v>46197</v>
      </c>
      <c r="B29" s="661">
        <f t="shared" si="2"/>
        <v>4890375</v>
      </c>
      <c r="C29" s="661">
        <f t="shared" si="3"/>
        <v>68360456.25</v>
      </c>
      <c r="D29" s="662">
        <f t="shared" si="4"/>
        <v>73250831.25</v>
      </c>
    </row>
    <row r="30" spans="1:4" x14ac:dyDescent="0.3">
      <c r="A30" s="660">
        <f t="shared" si="1"/>
        <v>46198</v>
      </c>
      <c r="B30" s="661">
        <f t="shared" si="2"/>
        <v>4890375</v>
      </c>
      <c r="C30" s="661">
        <f t="shared" si="3"/>
        <v>68360456.25</v>
      </c>
      <c r="D30" s="662">
        <f t="shared" si="4"/>
        <v>73250831.25</v>
      </c>
    </row>
    <row r="31" spans="1:4" x14ac:dyDescent="0.3">
      <c r="A31" s="660">
        <f t="shared" si="1"/>
        <v>46199</v>
      </c>
      <c r="B31" s="661">
        <f t="shared" si="2"/>
        <v>4890375</v>
      </c>
      <c r="C31" s="661">
        <f t="shared" si="3"/>
        <v>68360456.25</v>
      </c>
      <c r="D31" s="662">
        <f t="shared" si="4"/>
        <v>73250831.25</v>
      </c>
    </row>
    <row r="32" spans="1:4" x14ac:dyDescent="0.3">
      <c r="A32" s="660">
        <f t="shared" si="1"/>
        <v>46200</v>
      </c>
      <c r="B32" s="661">
        <f t="shared" si="2"/>
        <v>4890375</v>
      </c>
      <c r="C32" s="661">
        <f t="shared" si="3"/>
        <v>68360456.25</v>
      </c>
      <c r="D32" s="662">
        <f t="shared" si="4"/>
        <v>73250831.25</v>
      </c>
    </row>
    <row r="33" spans="1:10" x14ac:dyDescent="0.3">
      <c r="A33" s="660">
        <f t="shared" si="1"/>
        <v>46201</v>
      </c>
      <c r="B33" s="661">
        <f t="shared" si="2"/>
        <v>4890375</v>
      </c>
      <c r="C33" s="661">
        <f t="shared" si="3"/>
        <v>68360456.25</v>
      </c>
      <c r="D33" s="662">
        <f t="shared" si="4"/>
        <v>73250831.25</v>
      </c>
    </row>
    <row r="34" spans="1:10" x14ac:dyDescent="0.3">
      <c r="A34" s="660">
        <f t="shared" si="1"/>
        <v>46202</v>
      </c>
      <c r="B34" s="661">
        <f t="shared" si="2"/>
        <v>4890375</v>
      </c>
      <c r="C34" s="661">
        <f t="shared" si="3"/>
        <v>68360456.25</v>
      </c>
      <c r="D34" s="662">
        <f t="shared" si="4"/>
        <v>73250831.25</v>
      </c>
    </row>
    <row r="35" spans="1:10" x14ac:dyDescent="0.3">
      <c r="A35" s="660">
        <f t="shared" si="1"/>
        <v>46203</v>
      </c>
      <c r="B35" s="661">
        <f t="shared" si="2"/>
        <v>4890375</v>
      </c>
      <c r="C35" s="661">
        <f t="shared" si="3"/>
        <v>68360456.25</v>
      </c>
      <c r="D35" s="662">
        <f t="shared" si="4"/>
        <v>73250831.25</v>
      </c>
    </row>
    <row r="36" spans="1:10" x14ac:dyDescent="0.3">
      <c r="A36" s="784"/>
      <c r="B36" s="784"/>
      <c r="C36" s="784"/>
      <c r="D36" s="784"/>
    </row>
    <row r="37" spans="1:10" x14ac:dyDescent="0.3">
      <c r="A37" s="783" t="s">
        <v>45</v>
      </c>
      <c r="B37" s="783"/>
      <c r="C37" s="783"/>
      <c r="D37" s="783"/>
    </row>
    <row r="38" spans="1:10" s="103" customFormat="1" ht="56.4" customHeight="1" x14ac:dyDescent="0.25">
      <c r="A38" s="655" t="s">
        <v>4</v>
      </c>
      <c r="B38" s="657" t="str">
        <f>B5</f>
        <v>002LCFS261320505 (C.D 17.06.2026, M.D 15.10.2026)</v>
      </c>
      <c r="C38" s="657" t="str">
        <f>C5</f>
        <v>002LCFS261320507 (C.D 17.06.2026, M.D 15.10.2026)</v>
      </c>
      <c r="D38" s="657" t="s">
        <v>0</v>
      </c>
      <c r="E38" s="658"/>
      <c r="F38" s="658"/>
      <c r="G38" s="658"/>
      <c r="H38" s="658"/>
      <c r="I38" s="658"/>
      <c r="J38" s="658"/>
    </row>
    <row r="39" spans="1:10" s="117" customFormat="1" ht="27.6" x14ac:dyDescent="0.25">
      <c r="A39" s="666" t="s">
        <v>294</v>
      </c>
      <c r="B39" s="667">
        <f>12.02%+0.5%</f>
        <v>0.12520000000000001</v>
      </c>
      <c r="C39" s="667">
        <f>12.02%+0.5%</f>
        <v>0.12520000000000001</v>
      </c>
      <c r="D39" s="668"/>
      <c r="E39" s="669"/>
      <c r="F39" s="669"/>
      <c r="G39" s="669"/>
      <c r="H39" s="669"/>
      <c r="I39" s="669"/>
      <c r="J39" s="669"/>
    </row>
    <row r="40" spans="1:10" x14ac:dyDescent="0.3">
      <c r="A40" s="660">
        <f t="shared" ref="A40:A69" si="5">A6</f>
        <v>46174</v>
      </c>
      <c r="B40" s="662">
        <f>IF(B6&lt;0,0,B6*B$39/365)</f>
        <v>0</v>
      </c>
      <c r="C40" s="662">
        <f>IF(C6&lt;0,0,C6*C$39/365)</f>
        <v>0</v>
      </c>
      <c r="D40" s="662">
        <f>SUM(B40:C40)</f>
        <v>0</v>
      </c>
    </row>
    <row r="41" spans="1:10" x14ac:dyDescent="0.3">
      <c r="A41" s="660">
        <f t="shared" si="5"/>
        <v>46175</v>
      </c>
      <c r="B41" s="662">
        <f t="shared" ref="B41:C69" si="6">IF(B7&lt;0,0,B7*B$39/365)</f>
        <v>0</v>
      </c>
      <c r="C41" s="662">
        <f t="shared" si="6"/>
        <v>0</v>
      </c>
      <c r="D41" s="662">
        <f t="shared" ref="D41:D69" si="7">SUM(B41:C41)</f>
        <v>0</v>
      </c>
    </row>
    <row r="42" spans="1:10" x14ac:dyDescent="0.3">
      <c r="A42" s="660">
        <f t="shared" si="5"/>
        <v>46176</v>
      </c>
      <c r="B42" s="662">
        <f t="shared" si="6"/>
        <v>0</v>
      </c>
      <c r="C42" s="662">
        <f t="shared" si="6"/>
        <v>0</v>
      </c>
      <c r="D42" s="662">
        <f t="shared" si="7"/>
        <v>0</v>
      </c>
    </row>
    <row r="43" spans="1:10" x14ac:dyDescent="0.3">
      <c r="A43" s="660">
        <f t="shared" si="5"/>
        <v>46177</v>
      </c>
      <c r="B43" s="662">
        <f t="shared" si="6"/>
        <v>0</v>
      </c>
      <c r="C43" s="662">
        <f t="shared" si="6"/>
        <v>0</v>
      </c>
      <c r="D43" s="662">
        <f t="shared" si="7"/>
        <v>0</v>
      </c>
      <c r="F43" s="670"/>
    </row>
    <row r="44" spans="1:10" x14ac:dyDescent="0.3">
      <c r="A44" s="660">
        <f t="shared" si="5"/>
        <v>46178</v>
      </c>
      <c r="B44" s="662">
        <f t="shared" si="6"/>
        <v>0</v>
      </c>
      <c r="C44" s="662">
        <f t="shared" si="6"/>
        <v>0</v>
      </c>
      <c r="D44" s="662">
        <f t="shared" si="7"/>
        <v>0</v>
      </c>
    </row>
    <row r="45" spans="1:10" x14ac:dyDescent="0.3">
      <c r="A45" s="660">
        <f t="shared" si="5"/>
        <v>46179</v>
      </c>
      <c r="B45" s="662">
        <f t="shared" si="6"/>
        <v>0</v>
      </c>
      <c r="C45" s="662">
        <f t="shared" si="6"/>
        <v>0</v>
      </c>
      <c r="D45" s="662">
        <f t="shared" si="7"/>
        <v>0</v>
      </c>
    </row>
    <row r="46" spans="1:10" x14ac:dyDescent="0.3">
      <c r="A46" s="660">
        <f t="shared" si="5"/>
        <v>46180</v>
      </c>
      <c r="B46" s="662">
        <f t="shared" si="6"/>
        <v>0</v>
      </c>
      <c r="C46" s="662">
        <f t="shared" si="6"/>
        <v>0</v>
      </c>
      <c r="D46" s="662">
        <f t="shared" si="7"/>
        <v>0</v>
      </c>
    </row>
    <row r="47" spans="1:10" x14ac:dyDescent="0.3">
      <c r="A47" s="660">
        <f t="shared" si="5"/>
        <v>46181</v>
      </c>
      <c r="B47" s="662">
        <f t="shared" si="6"/>
        <v>0</v>
      </c>
      <c r="C47" s="662">
        <f t="shared" si="6"/>
        <v>0</v>
      </c>
      <c r="D47" s="662">
        <f t="shared" si="7"/>
        <v>0</v>
      </c>
    </row>
    <row r="48" spans="1:10" x14ac:dyDescent="0.3">
      <c r="A48" s="660">
        <f t="shared" si="5"/>
        <v>46182</v>
      </c>
      <c r="B48" s="662">
        <f t="shared" si="6"/>
        <v>0</v>
      </c>
      <c r="C48" s="662">
        <f t="shared" si="6"/>
        <v>0</v>
      </c>
      <c r="D48" s="662">
        <f t="shared" si="7"/>
        <v>0</v>
      </c>
    </row>
    <row r="49" spans="1:4" x14ac:dyDescent="0.3">
      <c r="A49" s="660">
        <f t="shared" si="5"/>
        <v>46183</v>
      </c>
      <c r="B49" s="662">
        <f t="shared" si="6"/>
        <v>0</v>
      </c>
      <c r="C49" s="662">
        <f t="shared" si="6"/>
        <v>0</v>
      </c>
      <c r="D49" s="662">
        <f t="shared" si="7"/>
        <v>0</v>
      </c>
    </row>
    <row r="50" spans="1:4" x14ac:dyDescent="0.3">
      <c r="A50" s="660">
        <f t="shared" si="5"/>
        <v>46184</v>
      </c>
      <c r="B50" s="662">
        <f t="shared" si="6"/>
        <v>0</v>
      </c>
      <c r="C50" s="662">
        <f t="shared" si="6"/>
        <v>0</v>
      </c>
      <c r="D50" s="662">
        <f t="shared" si="7"/>
        <v>0</v>
      </c>
    </row>
    <row r="51" spans="1:4" x14ac:dyDescent="0.3">
      <c r="A51" s="660">
        <f t="shared" si="5"/>
        <v>46185</v>
      </c>
      <c r="B51" s="662">
        <f t="shared" si="6"/>
        <v>0</v>
      </c>
      <c r="C51" s="662">
        <f t="shared" si="6"/>
        <v>0</v>
      </c>
      <c r="D51" s="662">
        <f t="shared" si="7"/>
        <v>0</v>
      </c>
    </row>
    <row r="52" spans="1:4" x14ac:dyDescent="0.3">
      <c r="A52" s="660">
        <f t="shared" si="5"/>
        <v>46186</v>
      </c>
      <c r="B52" s="662">
        <f t="shared" si="6"/>
        <v>0</v>
      </c>
      <c r="C52" s="662">
        <f t="shared" si="6"/>
        <v>0</v>
      </c>
      <c r="D52" s="662">
        <f t="shared" si="7"/>
        <v>0</v>
      </c>
    </row>
    <row r="53" spans="1:4" x14ac:dyDescent="0.3">
      <c r="A53" s="660">
        <f t="shared" si="5"/>
        <v>46187</v>
      </c>
      <c r="B53" s="662">
        <f t="shared" si="6"/>
        <v>0</v>
      </c>
      <c r="C53" s="662">
        <f t="shared" si="6"/>
        <v>0</v>
      </c>
      <c r="D53" s="662">
        <f t="shared" si="7"/>
        <v>0</v>
      </c>
    </row>
    <row r="54" spans="1:4" x14ac:dyDescent="0.3">
      <c r="A54" s="660">
        <f t="shared" si="5"/>
        <v>46188</v>
      </c>
      <c r="B54" s="662">
        <f t="shared" si="6"/>
        <v>0</v>
      </c>
      <c r="C54" s="662">
        <f t="shared" si="6"/>
        <v>0</v>
      </c>
      <c r="D54" s="662">
        <f t="shared" si="7"/>
        <v>0</v>
      </c>
    </row>
    <row r="55" spans="1:4" x14ac:dyDescent="0.3">
      <c r="A55" s="660">
        <f t="shared" si="5"/>
        <v>46189</v>
      </c>
      <c r="B55" s="662">
        <f t="shared" si="6"/>
        <v>0</v>
      </c>
      <c r="C55" s="662">
        <f t="shared" si="6"/>
        <v>0</v>
      </c>
      <c r="D55" s="662">
        <f t="shared" si="7"/>
        <v>0</v>
      </c>
    </row>
    <row r="56" spans="1:4" x14ac:dyDescent="0.3">
      <c r="A56" s="660">
        <f t="shared" si="5"/>
        <v>46190</v>
      </c>
      <c r="B56" s="662">
        <f t="shared" si="6"/>
        <v>1677.4656164383564</v>
      </c>
      <c r="C56" s="662">
        <f t="shared" si="6"/>
        <v>23448.572938356167</v>
      </c>
      <c r="D56" s="662">
        <f t="shared" si="7"/>
        <v>25126.038554794522</v>
      </c>
    </row>
    <row r="57" spans="1:4" x14ac:dyDescent="0.3">
      <c r="A57" s="660">
        <f t="shared" si="5"/>
        <v>46191</v>
      </c>
      <c r="B57" s="662">
        <f t="shared" si="6"/>
        <v>1677.4656164383564</v>
      </c>
      <c r="C57" s="662">
        <f t="shared" si="6"/>
        <v>23448.572938356167</v>
      </c>
      <c r="D57" s="662">
        <f t="shared" si="7"/>
        <v>25126.038554794522</v>
      </c>
    </row>
    <row r="58" spans="1:4" x14ac:dyDescent="0.3">
      <c r="A58" s="660">
        <f t="shared" si="5"/>
        <v>46192</v>
      </c>
      <c r="B58" s="662">
        <f t="shared" si="6"/>
        <v>1677.4656164383564</v>
      </c>
      <c r="C58" s="662">
        <f t="shared" si="6"/>
        <v>23448.572938356167</v>
      </c>
      <c r="D58" s="662">
        <f t="shared" si="7"/>
        <v>25126.038554794522</v>
      </c>
    </row>
    <row r="59" spans="1:4" x14ac:dyDescent="0.3">
      <c r="A59" s="660">
        <f t="shared" si="5"/>
        <v>46193</v>
      </c>
      <c r="B59" s="662">
        <f t="shared" si="6"/>
        <v>1677.4656164383564</v>
      </c>
      <c r="C59" s="662">
        <f t="shared" si="6"/>
        <v>23448.572938356167</v>
      </c>
      <c r="D59" s="662">
        <f t="shared" si="7"/>
        <v>25126.038554794522</v>
      </c>
    </row>
    <row r="60" spans="1:4" x14ac:dyDescent="0.3">
      <c r="A60" s="660">
        <f t="shared" si="5"/>
        <v>46194</v>
      </c>
      <c r="B60" s="662">
        <f t="shared" si="6"/>
        <v>1677.4656164383564</v>
      </c>
      <c r="C60" s="662">
        <f t="shared" si="6"/>
        <v>23448.572938356167</v>
      </c>
      <c r="D60" s="662">
        <f t="shared" si="7"/>
        <v>25126.038554794522</v>
      </c>
    </row>
    <row r="61" spans="1:4" x14ac:dyDescent="0.3">
      <c r="A61" s="660">
        <f t="shared" si="5"/>
        <v>46195</v>
      </c>
      <c r="B61" s="662">
        <f t="shared" si="6"/>
        <v>1677.4656164383564</v>
      </c>
      <c r="C61" s="662">
        <f t="shared" si="6"/>
        <v>23448.572938356167</v>
      </c>
      <c r="D61" s="662">
        <f t="shared" si="7"/>
        <v>25126.038554794522</v>
      </c>
    </row>
    <row r="62" spans="1:4" x14ac:dyDescent="0.3">
      <c r="A62" s="660">
        <f t="shared" si="5"/>
        <v>46196</v>
      </c>
      <c r="B62" s="662">
        <f t="shared" si="6"/>
        <v>1677.4656164383564</v>
      </c>
      <c r="C62" s="662">
        <f t="shared" si="6"/>
        <v>23448.572938356167</v>
      </c>
      <c r="D62" s="662">
        <f t="shared" si="7"/>
        <v>25126.038554794522</v>
      </c>
    </row>
    <row r="63" spans="1:4" x14ac:dyDescent="0.3">
      <c r="A63" s="660">
        <f t="shared" si="5"/>
        <v>46197</v>
      </c>
      <c r="B63" s="662">
        <f t="shared" si="6"/>
        <v>1677.4656164383564</v>
      </c>
      <c r="C63" s="662">
        <f t="shared" si="6"/>
        <v>23448.572938356167</v>
      </c>
      <c r="D63" s="662">
        <f t="shared" si="7"/>
        <v>25126.038554794522</v>
      </c>
    </row>
    <row r="64" spans="1:4" x14ac:dyDescent="0.3">
      <c r="A64" s="660">
        <f t="shared" si="5"/>
        <v>46198</v>
      </c>
      <c r="B64" s="662">
        <f t="shared" si="6"/>
        <v>1677.4656164383564</v>
      </c>
      <c r="C64" s="662">
        <f t="shared" si="6"/>
        <v>23448.572938356167</v>
      </c>
      <c r="D64" s="662">
        <f t="shared" si="7"/>
        <v>25126.038554794522</v>
      </c>
    </row>
    <row r="65" spans="1:10" x14ac:dyDescent="0.3">
      <c r="A65" s="660">
        <f t="shared" si="5"/>
        <v>46199</v>
      </c>
      <c r="B65" s="662">
        <f t="shared" si="6"/>
        <v>1677.4656164383564</v>
      </c>
      <c r="C65" s="662">
        <f t="shared" si="6"/>
        <v>23448.572938356167</v>
      </c>
      <c r="D65" s="662">
        <f t="shared" si="7"/>
        <v>25126.038554794522</v>
      </c>
    </row>
    <row r="66" spans="1:10" x14ac:dyDescent="0.3">
      <c r="A66" s="660">
        <f t="shared" si="5"/>
        <v>46200</v>
      </c>
      <c r="B66" s="662">
        <f t="shared" si="6"/>
        <v>1677.4656164383564</v>
      </c>
      <c r="C66" s="662">
        <f t="shared" si="6"/>
        <v>23448.572938356167</v>
      </c>
      <c r="D66" s="662">
        <f t="shared" si="7"/>
        <v>25126.038554794522</v>
      </c>
    </row>
    <row r="67" spans="1:10" x14ac:dyDescent="0.3">
      <c r="A67" s="660">
        <f t="shared" si="5"/>
        <v>46201</v>
      </c>
      <c r="B67" s="662">
        <f t="shared" si="6"/>
        <v>1677.4656164383564</v>
      </c>
      <c r="C67" s="662">
        <f t="shared" si="6"/>
        <v>23448.572938356167</v>
      </c>
      <c r="D67" s="662">
        <f t="shared" si="7"/>
        <v>25126.038554794522</v>
      </c>
    </row>
    <row r="68" spans="1:10" x14ac:dyDescent="0.3">
      <c r="A68" s="660">
        <f t="shared" si="5"/>
        <v>46202</v>
      </c>
      <c r="B68" s="662">
        <f t="shared" si="6"/>
        <v>1677.4656164383564</v>
      </c>
      <c r="C68" s="662">
        <f t="shared" si="6"/>
        <v>23448.572938356167</v>
      </c>
      <c r="D68" s="662">
        <f t="shared" si="7"/>
        <v>25126.038554794522</v>
      </c>
    </row>
    <row r="69" spans="1:10" x14ac:dyDescent="0.3">
      <c r="A69" s="660">
        <f t="shared" si="5"/>
        <v>46203</v>
      </c>
      <c r="B69" s="662">
        <f t="shared" si="6"/>
        <v>1677.4656164383564</v>
      </c>
      <c r="C69" s="662">
        <f t="shared" si="6"/>
        <v>23448.572938356167</v>
      </c>
      <c r="D69" s="662">
        <f t="shared" si="7"/>
        <v>25126.038554794522</v>
      </c>
    </row>
    <row r="70" spans="1:10" x14ac:dyDescent="0.3">
      <c r="A70" s="671" t="s">
        <v>18</v>
      </c>
      <c r="B70" s="672">
        <f>SUM(B40:B69)</f>
        <v>23484.518630136987</v>
      </c>
      <c r="C70" s="672">
        <f>SUM(C40:C69)</f>
        <v>328280.02113698627</v>
      </c>
      <c r="D70" s="672">
        <f>SUM(D40:D69)</f>
        <v>351764.53976712329</v>
      </c>
    </row>
    <row r="71" spans="1:10" x14ac:dyDescent="0.3">
      <c r="A71" s="786"/>
      <c r="B71" s="786"/>
      <c r="C71" s="786"/>
      <c r="D71" s="786"/>
    </row>
    <row r="72" spans="1:10" x14ac:dyDescent="0.3">
      <c r="A72" s="783" t="s">
        <v>52</v>
      </c>
      <c r="B72" s="783"/>
      <c r="C72" s="783"/>
      <c r="D72" s="783"/>
    </row>
    <row r="73" spans="1:10" s="103" customFormat="1" ht="55.95" customHeight="1" x14ac:dyDescent="0.25">
      <c r="A73" s="655" t="s">
        <v>22</v>
      </c>
      <c r="B73" s="657" t="str">
        <f>B5</f>
        <v>002LCFS261320505 (C.D 17.06.2026, M.D 15.10.2026)</v>
      </c>
      <c r="C73" s="657" t="str">
        <f>C5</f>
        <v>002LCFS261320507 (C.D 17.06.2026, M.D 15.10.2026)</v>
      </c>
      <c r="D73" s="657" t="s">
        <v>0</v>
      </c>
      <c r="E73" s="658"/>
      <c r="F73" s="658"/>
      <c r="G73" s="658"/>
      <c r="H73" s="658"/>
      <c r="I73" s="658"/>
      <c r="J73" s="658"/>
    </row>
    <row r="74" spans="1:10" x14ac:dyDescent="0.3">
      <c r="A74" s="673" t="s">
        <v>19</v>
      </c>
      <c r="B74" s="674">
        <v>0</v>
      </c>
      <c r="C74" s="674">
        <v>0</v>
      </c>
      <c r="D74" s="662">
        <f>SUM(B74:C74)</f>
        <v>0</v>
      </c>
      <c r="E74" s="663"/>
    </row>
    <row r="75" spans="1:10" x14ac:dyDescent="0.3">
      <c r="A75" s="673" t="s">
        <v>20</v>
      </c>
      <c r="B75" s="662">
        <f>B70</f>
        <v>23484.518630136987</v>
      </c>
      <c r="C75" s="662">
        <f>C70</f>
        <v>328280.02113698627</v>
      </c>
      <c r="D75" s="662">
        <f>SUM(B75:C75)</f>
        <v>351764.53976712323</v>
      </c>
    </row>
    <row r="76" spans="1:10" x14ac:dyDescent="0.3">
      <c r="A76" s="673" t="s">
        <v>29</v>
      </c>
      <c r="B76" s="662"/>
      <c r="C76" s="662"/>
      <c r="D76" s="662">
        <f>SUM(B76:C76)</f>
        <v>0</v>
      </c>
    </row>
    <row r="77" spans="1:10" x14ac:dyDescent="0.3">
      <c r="A77" s="673" t="s">
        <v>18</v>
      </c>
      <c r="B77" s="662">
        <f>SUM(B74:B76)</f>
        <v>23484.518630136987</v>
      </c>
      <c r="C77" s="662">
        <f>SUM(C74:C76)</f>
        <v>328280.02113698627</v>
      </c>
      <c r="D77" s="662">
        <f>SUM(B77:C77)</f>
        <v>351764.53976712323</v>
      </c>
    </row>
    <row r="78" spans="1:10" x14ac:dyDescent="0.3">
      <c r="A78" s="784"/>
      <c r="B78" s="784"/>
      <c r="C78" s="784"/>
      <c r="D78" s="784"/>
    </row>
    <row r="79" spans="1:10" x14ac:dyDescent="0.3">
      <c r="A79" s="675" t="s">
        <v>32</v>
      </c>
      <c r="B79" s="676"/>
      <c r="C79" s="676"/>
      <c r="D79" s="676">
        <f>SUM(B79:C79)</f>
        <v>0</v>
      </c>
    </row>
    <row r="80" spans="1:10" x14ac:dyDescent="0.3">
      <c r="A80" s="785"/>
      <c r="B80" s="785"/>
      <c r="C80" s="785"/>
      <c r="D80" s="785"/>
    </row>
    <row r="81" spans="1:6" x14ac:dyDescent="0.3">
      <c r="A81" s="675" t="s">
        <v>11</v>
      </c>
      <c r="B81" s="676"/>
      <c r="C81" s="676"/>
      <c r="D81" s="676">
        <f>SUM(B81:C81)</f>
        <v>0</v>
      </c>
      <c r="F81" s="670"/>
    </row>
    <row r="82" spans="1:6" x14ac:dyDescent="0.3">
      <c r="A82" s="785"/>
      <c r="B82" s="785"/>
      <c r="C82" s="785"/>
      <c r="D82" s="785"/>
    </row>
    <row r="83" spans="1:6" x14ac:dyDescent="0.3">
      <c r="A83" s="677" t="s">
        <v>21</v>
      </c>
      <c r="B83" s="678">
        <f>B70+B81+B76</f>
        <v>23484.518630136987</v>
      </c>
      <c r="C83" s="678">
        <f>C70+C81+C76</f>
        <v>328280.02113698627</v>
      </c>
      <c r="D83" s="678">
        <f>SUM(B83:C83)</f>
        <v>351764.53976712323</v>
      </c>
    </row>
    <row r="84" spans="1:6" x14ac:dyDescent="0.3">
      <c r="A84" s="785"/>
      <c r="B84" s="785"/>
      <c r="C84" s="785"/>
      <c r="D84" s="785"/>
    </row>
    <row r="85" spans="1:6" x14ac:dyDescent="0.3">
      <c r="A85" s="679" t="s">
        <v>33</v>
      </c>
      <c r="B85" s="680">
        <f>B77+B81-B79</f>
        <v>23484.518630136987</v>
      </c>
      <c r="C85" s="680">
        <f>C77+C81-C79</f>
        <v>328280.02113698627</v>
      </c>
      <c r="D85" s="680">
        <f>SUM(B85:C85)</f>
        <v>351764.53976712323</v>
      </c>
    </row>
  </sheetData>
  <mergeCells count="9">
    <mergeCell ref="A4:D4"/>
    <mergeCell ref="A36:D36"/>
    <mergeCell ref="A37:D37"/>
    <mergeCell ref="A84:D84"/>
    <mergeCell ref="A71:D71"/>
    <mergeCell ref="A72:D72"/>
    <mergeCell ref="A78:D78"/>
    <mergeCell ref="A80:D80"/>
    <mergeCell ref="A82:D82"/>
  </mergeCells>
  <phoneticPr fontId="10" type="noConversion"/>
  <printOptions horizontalCentered="1" verticalCentered="1"/>
  <pageMargins left="0.25" right="0.25" top="0.5" bottom="0.5" header="0.5" footer="0.5"/>
  <pageSetup scale="40" orientation="landscape" r:id="rId1"/>
  <headerFooter alignWithMargins="0"/>
  <ignoredErrors>
    <ignoredError sqref="D7:D21" formulaRange="1"/>
  </ignoredError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8B702-6CDA-40FC-B192-EF4A8B417098}">
  <sheetPr>
    <pageSetUpPr fitToPage="1"/>
  </sheetPr>
  <dimension ref="A1:K85"/>
  <sheetViews>
    <sheetView showGridLines="0" zoomScaleNormal="100" workbookViewId="0">
      <selection activeCell="A84" sqref="A84:G84"/>
    </sheetView>
  </sheetViews>
  <sheetFormatPr defaultColWidth="10.6328125" defaultRowHeight="13.8" x14ac:dyDescent="0.3"/>
  <cols>
    <col min="1" max="1" width="15.1796875" style="2" customWidth="1"/>
    <col min="2" max="2" width="13.81640625" style="2" customWidth="1"/>
    <col min="3" max="6" width="13.7265625" style="232" customWidth="1"/>
    <col min="7" max="7" width="11.6328125" style="2" customWidth="1"/>
    <col min="8" max="8" width="11" style="2" bestFit="1" customWidth="1"/>
    <col min="9" max="9" width="8.6328125" style="2" bestFit="1" customWidth="1"/>
    <col min="10" max="10" width="10.1796875" style="2" bestFit="1" customWidth="1"/>
    <col min="11" max="11" width="8.81640625" style="2" customWidth="1"/>
    <col min="12" max="16384" width="10.6328125" style="2"/>
  </cols>
  <sheetData>
    <row r="1" spans="1:11" ht="18" x14ac:dyDescent="0.35">
      <c r="A1" s="748" t="s">
        <v>186</v>
      </c>
      <c r="B1" s="748"/>
      <c r="C1" s="748"/>
      <c r="D1" s="748"/>
      <c r="E1" s="748"/>
      <c r="F1" s="748"/>
      <c r="G1" s="748"/>
    </row>
    <row r="2" spans="1:11" ht="18.600000000000001" thickBot="1" x14ac:dyDescent="0.4">
      <c r="A2" s="91" t="s">
        <v>273</v>
      </c>
      <c r="B2" s="91"/>
      <c r="C2" s="231"/>
      <c r="D2" s="231"/>
      <c r="E2" s="231"/>
      <c r="F2" s="231"/>
      <c r="G2" s="55">
        <f>'FINANCIAL COST SUMMARY '!I2</f>
        <v>46174</v>
      </c>
    </row>
    <row r="3" spans="1:11" x14ac:dyDescent="0.3">
      <c r="A3" s="741"/>
      <c r="B3" s="741"/>
      <c r="C3" s="741"/>
      <c r="D3" s="741"/>
      <c r="E3" s="741"/>
      <c r="F3" s="741"/>
      <c r="G3" s="741"/>
    </row>
    <row r="4" spans="1:11" s="232" customFormat="1" x14ac:dyDescent="0.3">
      <c r="A4" s="761" t="s">
        <v>23</v>
      </c>
      <c r="B4" s="761"/>
      <c r="C4" s="761"/>
      <c r="D4" s="761"/>
      <c r="E4" s="761"/>
      <c r="F4" s="761"/>
      <c r="G4" s="761"/>
    </row>
    <row r="5" spans="1:11" s="234" customFormat="1" ht="41.4" x14ac:dyDescent="0.3">
      <c r="A5" s="94" t="s">
        <v>4</v>
      </c>
      <c r="B5" s="318" t="s">
        <v>274</v>
      </c>
      <c r="C5" s="318" t="s">
        <v>274</v>
      </c>
      <c r="D5" s="318" t="s">
        <v>275</v>
      </c>
      <c r="E5" s="318" t="s">
        <v>295</v>
      </c>
      <c r="F5" s="318" t="s">
        <v>276</v>
      </c>
      <c r="G5" s="233" t="s">
        <v>0</v>
      </c>
      <c r="I5" s="235"/>
      <c r="K5" s="235"/>
    </row>
    <row r="6" spans="1:11" x14ac:dyDescent="0.3">
      <c r="A6" s="236">
        <v>46174</v>
      </c>
      <c r="B6" s="610">
        <f t="shared" ref="B6:B35" si="0">244208.25*281.75</f>
        <v>68805674.4375</v>
      </c>
      <c r="C6" s="68">
        <f t="shared" ref="C6:D35" si="1">320954.4*281.75</f>
        <v>90428902.200000003</v>
      </c>
      <c r="D6" s="68">
        <f t="shared" si="1"/>
        <v>90428902.200000003</v>
      </c>
      <c r="E6" s="68"/>
      <c r="F6" s="68">
        <f t="shared" ref="F6:F35" si="2">448375*281.55</f>
        <v>126239981.25</v>
      </c>
      <c r="G6" s="68">
        <f>SUM(B6:F6)</f>
        <v>375903460.08749998</v>
      </c>
      <c r="I6" s="314">
        <v>46190</v>
      </c>
      <c r="J6" s="315">
        <v>180</v>
      </c>
      <c r="K6" s="314">
        <f>I6+J6</f>
        <v>46370</v>
      </c>
    </row>
    <row r="7" spans="1:11" x14ac:dyDescent="0.3">
      <c r="A7" s="236">
        <f>+A6+1</f>
        <v>46175</v>
      </c>
      <c r="B7" s="610">
        <f t="shared" si="0"/>
        <v>68805674.4375</v>
      </c>
      <c r="C7" s="68">
        <f t="shared" si="1"/>
        <v>90428902.200000003</v>
      </c>
      <c r="D7" s="68">
        <f t="shared" si="1"/>
        <v>90428902.200000003</v>
      </c>
      <c r="E7" s="68"/>
      <c r="F7" s="68">
        <f t="shared" si="2"/>
        <v>126239981.25</v>
      </c>
      <c r="G7" s="68">
        <f>SUM(B7:F7)</f>
        <v>375903460.08749998</v>
      </c>
    </row>
    <row r="8" spans="1:11" x14ac:dyDescent="0.3">
      <c r="A8" s="236">
        <f t="shared" ref="A8:A35" si="3">+A7+1</f>
        <v>46176</v>
      </c>
      <c r="B8" s="610">
        <f t="shared" si="0"/>
        <v>68805674.4375</v>
      </c>
      <c r="C8" s="68">
        <f t="shared" si="1"/>
        <v>90428902.200000003</v>
      </c>
      <c r="D8" s="68">
        <f t="shared" si="1"/>
        <v>90428902.200000003</v>
      </c>
      <c r="E8" s="68"/>
      <c r="F8" s="68">
        <f t="shared" si="2"/>
        <v>126239981.25</v>
      </c>
      <c r="G8" s="68">
        <f t="shared" ref="G8:G34" si="4">SUM(B8:F8)</f>
        <v>375903460.08749998</v>
      </c>
    </row>
    <row r="9" spans="1:11" x14ac:dyDescent="0.3">
      <c r="A9" s="236">
        <f t="shared" si="3"/>
        <v>46177</v>
      </c>
      <c r="B9" s="610">
        <f t="shared" si="0"/>
        <v>68805674.4375</v>
      </c>
      <c r="C9" s="68">
        <f t="shared" si="1"/>
        <v>90428902.200000003</v>
      </c>
      <c r="D9" s="68">
        <f t="shared" si="1"/>
        <v>90428902.200000003</v>
      </c>
      <c r="E9" s="68"/>
      <c r="F9" s="68">
        <f t="shared" si="2"/>
        <v>126239981.25</v>
      </c>
      <c r="G9" s="68">
        <f t="shared" si="4"/>
        <v>375903460.08749998</v>
      </c>
      <c r="I9" s="104"/>
      <c r="K9" s="104"/>
    </row>
    <row r="10" spans="1:11" x14ac:dyDescent="0.3">
      <c r="A10" s="236">
        <f t="shared" si="3"/>
        <v>46178</v>
      </c>
      <c r="B10" s="610">
        <f t="shared" si="0"/>
        <v>68805674.4375</v>
      </c>
      <c r="C10" s="68">
        <f t="shared" si="1"/>
        <v>90428902.200000003</v>
      </c>
      <c r="D10" s="68">
        <f t="shared" si="1"/>
        <v>90428902.200000003</v>
      </c>
      <c r="E10" s="68"/>
      <c r="F10" s="68">
        <f t="shared" si="2"/>
        <v>126239981.25</v>
      </c>
      <c r="G10" s="68">
        <f t="shared" si="4"/>
        <v>375903460.08749998</v>
      </c>
    </row>
    <row r="11" spans="1:11" x14ac:dyDescent="0.3">
      <c r="A11" s="236">
        <f t="shared" si="3"/>
        <v>46179</v>
      </c>
      <c r="B11" s="610">
        <f t="shared" si="0"/>
        <v>68805674.4375</v>
      </c>
      <c r="C11" s="68">
        <f t="shared" si="1"/>
        <v>90428902.200000003</v>
      </c>
      <c r="D11" s="68">
        <f t="shared" si="1"/>
        <v>90428902.200000003</v>
      </c>
      <c r="E11" s="68"/>
      <c r="F11" s="68">
        <f t="shared" si="2"/>
        <v>126239981.25</v>
      </c>
      <c r="G11" s="68">
        <f t="shared" si="4"/>
        <v>375903460.08749998</v>
      </c>
    </row>
    <row r="12" spans="1:11" x14ac:dyDescent="0.3">
      <c r="A12" s="236">
        <f t="shared" si="3"/>
        <v>46180</v>
      </c>
      <c r="B12" s="610">
        <f t="shared" si="0"/>
        <v>68805674.4375</v>
      </c>
      <c r="C12" s="68">
        <f t="shared" si="1"/>
        <v>90428902.200000003</v>
      </c>
      <c r="D12" s="68">
        <f t="shared" si="1"/>
        <v>90428902.200000003</v>
      </c>
      <c r="E12" s="68"/>
      <c r="F12" s="68">
        <f t="shared" si="2"/>
        <v>126239981.25</v>
      </c>
      <c r="G12" s="68">
        <f t="shared" si="4"/>
        <v>375903460.08749998</v>
      </c>
    </row>
    <row r="13" spans="1:11" x14ac:dyDescent="0.3">
      <c r="A13" s="236">
        <f t="shared" si="3"/>
        <v>46181</v>
      </c>
      <c r="B13" s="610">
        <f t="shared" si="0"/>
        <v>68805674.4375</v>
      </c>
      <c r="C13" s="68">
        <f t="shared" si="1"/>
        <v>90428902.200000003</v>
      </c>
      <c r="D13" s="68">
        <f t="shared" si="1"/>
        <v>90428902.200000003</v>
      </c>
      <c r="E13" s="68"/>
      <c r="F13" s="68">
        <f t="shared" si="2"/>
        <v>126239981.25</v>
      </c>
      <c r="G13" s="68">
        <f t="shared" si="4"/>
        <v>375903460.08749998</v>
      </c>
      <c r="H13" s="312"/>
    </row>
    <row r="14" spans="1:11" x14ac:dyDescent="0.3">
      <c r="A14" s="236">
        <f t="shared" si="3"/>
        <v>46182</v>
      </c>
      <c r="B14" s="610">
        <f t="shared" si="0"/>
        <v>68805674.4375</v>
      </c>
      <c r="C14" s="68">
        <f t="shared" si="1"/>
        <v>90428902.200000003</v>
      </c>
      <c r="D14" s="68">
        <f t="shared" si="1"/>
        <v>90428902.200000003</v>
      </c>
      <c r="E14" s="68"/>
      <c r="F14" s="68">
        <f t="shared" si="2"/>
        <v>126239981.25</v>
      </c>
      <c r="G14" s="68">
        <f t="shared" si="4"/>
        <v>375903460.08749998</v>
      </c>
    </row>
    <row r="15" spans="1:11" x14ac:dyDescent="0.3">
      <c r="A15" s="236">
        <f t="shared" si="3"/>
        <v>46183</v>
      </c>
      <c r="B15" s="610">
        <f t="shared" si="0"/>
        <v>68805674.4375</v>
      </c>
      <c r="C15" s="68">
        <f t="shared" si="1"/>
        <v>90428902.200000003</v>
      </c>
      <c r="D15" s="68">
        <f t="shared" si="1"/>
        <v>90428902.200000003</v>
      </c>
      <c r="E15" s="68"/>
      <c r="F15" s="68">
        <f t="shared" si="2"/>
        <v>126239981.25</v>
      </c>
      <c r="G15" s="68">
        <f t="shared" si="4"/>
        <v>375903460.08749998</v>
      </c>
    </row>
    <row r="16" spans="1:11" x14ac:dyDescent="0.3">
      <c r="A16" s="236">
        <f t="shared" si="3"/>
        <v>46184</v>
      </c>
      <c r="B16" s="610">
        <f t="shared" si="0"/>
        <v>68805674.4375</v>
      </c>
      <c r="C16" s="68">
        <f t="shared" si="1"/>
        <v>90428902.200000003</v>
      </c>
      <c r="D16" s="68">
        <f t="shared" si="1"/>
        <v>90428902.200000003</v>
      </c>
      <c r="E16" s="68"/>
      <c r="F16" s="68">
        <f t="shared" si="2"/>
        <v>126239981.25</v>
      </c>
      <c r="G16" s="68">
        <f t="shared" si="4"/>
        <v>375903460.08749998</v>
      </c>
    </row>
    <row r="17" spans="1:11" x14ac:dyDescent="0.3">
      <c r="A17" s="236">
        <f t="shared" si="3"/>
        <v>46185</v>
      </c>
      <c r="B17" s="610">
        <f t="shared" si="0"/>
        <v>68805674.4375</v>
      </c>
      <c r="C17" s="68">
        <f t="shared" si="1"/>
        <v>90428902.200000003</v>
      </c>
      <c r="D17" s="68">
        <f t="shared" si="1"/>
        <v>90428902.200000003</v>
      </c>
      <c r="E17" s="68"/>
      <c r="F17" s="68">
        <f t="shared" si="2"/>
        <v>126239981.25</v>
      </c>
      <c r="G17" s="68">
        <f t="shared" si="4"/>
        <v>375903460.08749998</v>
      </c>
    </row>
    <row r="18" spans="1:11" x14ac:dyDescent="0.3">
      <c r="A18" s="236">
        <f t="shared" si="3"/>
        <v>46186</v>
      </c>
      <c r="B18" s="610">
        <f t="shared" si="0"/>
        <v>68805674.4375</v>
      </c>
      <c r="C18" s="68">
        <f t="shared" si="1"/>
        <v>90428902.200000003</v>
      </c>
      <c r="D18" s="68">
        <f t="shared" si="1"/>
        <v>90428902.200000003</v>
      </c>
      <c r="E18" s="68"/>
      <c r="F18" s="68">
        <f t="shared" si="2"/>
        <v>126239981.25</v>
      </c>
      <c r="G18" s="68">
        <f t="shared" si="4"/>
        <v>375903460.08749998</v>
      </c>
    </row>
    <row r="19" spans="1:11" x14ac:dyDescent="0.3">
      <c r="A19" s="236">
        <f t="shared" si="3"/>
        <v>46187</v>
      </c>
      <c r="B19" s="610">
        <f t="shared" si="0"/>
        <v>68805674.4375</v>
      </c>
      <c r="C19" s="68">
        <f t="shared" si="1"/>
        <v>90428902.200000003</v>
      </c>
      <c r="D19" s="68">
        <f t="shared" si="1"/>
        <v>90428902.200000003</v>
      </c>
      <c r="E19" s="68"/>
      <c r="F19" s="68">
        <f t="shared" si="2"/>
        <v>126239981.25</v>
      </c>
      <c r="G19" s="68">
        <f t="shared" si="4"/>
        <v>375903460.08749998</v>
      </c>
    </row>
    <row r="20" spans="1:11" x14ac:dyDescent="0.3">
      <c r="A20" s="236">
        <f t="shared" si="3"/>
        <v>46188</v>
      </c>
      <c r="B20" s="610">
        <f t="shared" si="0"/>
        <v>68805674.4375</v>
      </c>
      <c r="C20" s="68">
        <f t="shared" si="1"/>
        <v>90428902.200000003</v>
      </c>
      <c r="D20" s="68">
        <f t="shared" si="1"/>
        <v>90428902.200000003</v>
      </c>
      <c r="E20" s="68"/>
      <c r="F20" s="68">
        <f t="shared" si="2"/>
        <v>126239981.25</v>
      </c>
      <c r="G20" s="68">
        <f t="shared" si="4"/>
        <v>375903460.08749998</v>
      </c>
    </row>
    <row r="21" spans="1:11" x14ac:dyDescent="0.3">
      <c r="A21" s="236">
        <f t="shared" si="3"/>
        <v>46189</v>
      </c>
      <c r="B21" s="610">
        <f t="shared" si="0"/>
        <v>68805674.4375</v>
      </c>
      <c r="C21" s="68">
        <f t="shared" si="1"/>
        <v>90428902.200000003</v>
      </c>
      <c r="D21" s="68">
        <f t="shared" si="1"/>
        <v>90428902.200000003</v>
      </c>
      <c r="E21" s="68"/>
      <c r="F21" s="68">
        <f t="shared" si="2"/>
        <v>126239981.25</v>
      </c>
      <c r="G21" s="68">
        <f t="shared" si="4"/>
        <v>375903460.08749998</v>
      </c>
    </row>
    <row r="22" spans="1:11" x14ac:dyDescent="0.3">
      <c r="A22" s="236">
        <f t="shared" si="3"/>
        <v>46190</v>
      </c>
      <c r="B22" s="610">
        <f t="shared" si="0"/>
        <v>68805674.4375</v>
      </c>
      <c r="C22" s="68">
        <f t="shared" si="1"/>
        <v>90428902.200000003</v>
      </c>
      <c r="D22" s="68">
        <f t="shared" si="1"/>
        <v>90428902.200000003</v>
      </c>
      <c r="E22" s="68">
        <f>244625.16*279.8</f>
        <v>68446119.768000007</v>
      </c>
      <c r="F22" s="68">
        <f t="shared" si="2"/>
        <v>126239981.25</v>
      </c>
      <c r="G22" s="68">
        <f>SUM(B22:F22)</f>
        <v>444349579.85549998</v>
      </c>
    </row>
    <row r="23" spans="1:11" x14ac:dyDescent="0.3">
      <c r="A23" s="236">
        <f t="shared" si="3"/>
        <v>46191</v>
      </c>
      <c r="B23" s="610">
        <f t="shared" si="0"/>
        <v>68805674.4375</v>
      </c>
      <c r="C23" s="68">
        <f t="shared" si="1"/>
        <v>90428902.200000003</v>
      </c>
      <c r="D23" s="68">
        <f t="shared" si="1"/>
        <v>90428902.200000003</v>
      </c>
      <c r="E23" s="68">
        <f t="shared" ref="E23:E35" si="5">244625.16*279.8</f>
        <v>68446119.768000007</v>
      </c>
      <c r="F23" s="68">
        <f t="shared" si="2"/>
        <v>126239981.25</v>
      </c>
      <c r="G23" s="68">
        <f t="shared" si="4"/>
        <v>444349579.85549998</v>
      </c>
    </row>
    <row r="24" spans="1:11" x14ac:dyDescent="0.3">
      <c r="A24" s="236">
        <f t="shared" si="3"/>
        <v>46192</v>
      </c>
      <c r="B24" s="610">
        <f t="shared" si="0"/>
        <v>68805674.4375</v>
      </c>
      <c r="C24" s="68">
        <f t="shared" si="1"/>
        <v>90428902.200000003</v>
      </c>
      <c r="D24" s="68">
        <f t="shared" si="1"/>
        <v>90428902.200000003</v>
      </c>
      <c r="E24" s="68">
        <f t="shared" si="5"/>
        <v>68446119.768000007</v>
      </c>
      <c r="F24" s="68">
        <f t="shared" si="2"/>
        <v>126239981.25</v>
      </c>
      <c r="G24" s="68">
        <f t="shared" si="4"/>
        <v>444349579.85549998</v>
      </c>
    </row>
    <row r="25" spans="1:11" x14ac:dyDescent="0.3">
      <c r="A25" s="236">
        <f t="shared" si="3"/>
        <v>46193</v>
      </c>
      <c r="B25" s="610">
        <f t="shared" si="0"/>
        <v>68805674.4375</v>
      </c>
      <c r="C25" s="68">
        <f t="shared" si="1"/>
        <v>90428902.200000003</v>
      </c>
      <c r="D25" s="68">
        <f t="shared" si="1"/>
        <v>90428902.200000003</v>
      </c>
      <c r="E25" s="68">
        <f t="shared" si="5"/>
        <v>68446119.768000007</v>
      </c>
      <c r="F25" s="68">
        <f t="shared" si="2"/>
        <v>126239981.25</v>
      </c>
      <c r="G25" s="68">
        <f t="shared" si="4"/>
        <v>444349579.85549998</v>
      </c>
    </row>
    <row r="26" spans="1:11" x14ac:dyDescent="0.3">
      <c r="A26" s="236">
        <f t="shared" si="3"/>
        <v>46194</v>
      </c>
      <c r="B26" s="610">
        <f t="shared" si="0"/>
        <v>68805674.4375</v>
      </c>
      <c r="C26" s="68">
        <f t="shared" si="1"/>
        <v>90428902.200000003</v>
      </c>
      <c r="D26" s="68">
        <f t="shared" si="1"/>
        <v>90428902.200000003</v>
      </c>
      <c r="E26" s="68">
        <f t="shared" si="5"/>
        <v>68446119.768000007</v>
      </c>
      <c r="F26" s="68">
        <f t="shared" si="2"/>
        <v>126239981.25</v>
      </c>
      <c r="G26" s="68">
        <f t="shared" si="4"/>
        <v>444349579.85549998</v>
      </c>
    </row>
    <row r="27" spans="1:11" x14ac:dyDescent="0.3">
      <c r="A27" s="236">
        <f t="shared" si="3"/>
        <v>46195</v>
      </c>
      <c r="B27" s="610">
        <f t="shared" si="0"/>
        <v>68805674.4375</v>
      </c>
      <c r="C27" s="68">
        <f t="shared" si="1"/>
        <v>90428902.200000003</v>
      </c>
      <c r="D27" s="68">
        <f t="shared" si="1"/>
        <v>90428902.200000003</v>
      </c>
      <c r="E27" s="68">
        <f t="shared" si="5"/>
        <v>68446119.768000007</v>
      </c>
      <c r="F27" s="68">
        <f t="shared" si="2"/>
        <v>126239981.25</v>
      </c>
      <c r="G27" s="68">
        <f t="shared" si="4"/>
        <v>444349579.85549998</v>
      </c>
    </row>
    <row r="28" spans="1:11" x14ac:dyDescent="0.3">
      <c r="A28" s="236">
        <f t="shared" si="3"/>
        <v>46196</v>
      </c>
      <c r="B28" s="610">
        <f t="shared" si="0"/>
        <v>68805674.4375</v>
      </c>
      <c r="C28" s="68">
        <f t="shared" si="1"/>
        <v>90428902.200000003</v>
      </c>
      <c r="D28" s="68">
        <f t="shared" si="1"/>
        <v>90428902.200000003</v>
      </c>
      <c r="E28" s="68">
        <f t="shared" si="5"/>
        <v>68446119.768000007</v>
      </c>
      <c r="F28" s="68">
        <f t="shared" si="2"/>
        <v>126239981.25</v>
      </c>
      <c r="G28" s="68">
        <f t="shared" si="4"/>
        <v>444349579.85549998</v>
      </c>
    </row>
    <row r="29" spans="1:11" x14ac:dyDescent="0.3">
      <c r="A29" s="236">
        <f t="shared" si="3"/>
        <v>46197</v>
      </c>
      <c r="B29" s="610">
        <f t="shared" si="0"/>
        <v>68805674.4375</v>
      </c>
      <c r="C29" s="68">
        <f t="shared" si="1"/>
        <v>90428902.200000003</v>
      </c>
      <c r="D29" s="68">
        <f t="shared" si="1"/>
        <v>90428902.200000003</v>
      </c>
      <c r="E29" s="68">
        <f t="shared" si="5"/>
        <v>68446119.768000007</v>
      </c>
      <c r="F29" s="68">
        <f t="shared" si="2"/>
        <v>126239981.25</v>
      </c>
      <c r="G29" s="68">
        <f t="shared" si="4"/>
        <v>444349579.85549998</v>
      </c>
      <c r="H29" s="232"/>
    </row>
    <row r="30" spans="1:11" x14ac:dyDescent="0.3">
      <c r="A30" s="236">
        <f t="shared" si="3"/>
        <v>46198</v>
      </c>
      <c r="B30" s="610">
        <f t="shared" si="0"/>
        <v>68805674.4375</v>
      </c>
      <c r="C30" s="68">
        <f t="shared" si="1"/>
        <v>90428902.200000003</v>
      </c>
      <c r="D30" s="68">
        <f t="shared" si="1"/>
        <v>90428902.200000003</v>
      </c>
      <c r="E30" s="68">
        <f t="shared" si="5"/>
        <v>68446119.768000007</v>
      </c>
      <c r="F30" s="68">
        <f t="shared" si="2"/>
        <v>126239981.25</v>
      </c>
      <c r="G30" s="68">
        <f t="shared" si="4"/>
        <v>444349579.85549998</v>
      </c>
    </row>
    <row r="31" spans="1:11" x14ac:dyDescent="0.3">
      <c r="A31" s="236">
        <f t="shared" si="3"/>
        <v>46199</v>
      </c>
      <c r="B31" s="610">
        <f t="shared" si="0"/>
        <v>68805674.4375</v>
      </c>
      <c r="C31" s="68">
        <f t="shared" si="1"/>
        <v>90428902.200000003</v>
      </c>
      <c r="D31" s="68">
        <f t="shared" si="1"/>
        <v>90428902.200000003</v>
      </c>
      <c r="E31" s="68">
        <f t="shared" si="5"/>
        <v>68446119.768000007</v>
      </c>
      <c r="F31" s="68">
        <f t="shared" si="2"/>
        <v>126239981.25</v>
      </c>
      <c r="G31" s="68">
        <f t="shared" si="4"/>
        <v>444349579.85549998</v>
      </c>
    </row>
    <row r="32" spans="1:11" x14ac:dyDescent="0.3">
      <c r="A32" s="236">
        <f t="shared" si="3"/>
        <v>46200</v>
      </c>
      <c r="B32" s="610">
        <f t="shared" si="0"/>
        <v>68805674.4375</v>
      </c>
      <c r="C32" s="68">
        <f t="shared" si="1"/>
        <v>90428902.200000003</v>
      </c>
      <c r="D32" s="68">
        <f t="shared" si="1"/>
        <v>90428902.200000003</v>
      </c>
      <c r="E32" s="68">
        <f t="shared" si="5"/>
        <v>68446119.768000007</v>
      </c>
      <c r="F32" s="68">
        <f t="shared" si="2"/>
        <v>126239981.25</v>
      </c>
      <c r="G32" s="68">
        <f t="shared" si="4"/>
        <v>444349579.85549998</v>
      </c>
      <c r="I32" s="104"/>
      <c r="K32" s="104"/>
    </row>
    <row r="33" spans="1:11" x14ac:dyDescent="0.3">
      <c r="A33" s="236">
        <f t="shared" si="3"/>
        <v>46201</v>
      </c>
      <c r="B33" s="610">
        <f t="shared" si="0"/>
        <v>68805674.4375</v>
      </c>
      <c r="C33" s="68">
        <f t="shared" si="1"/>
        <v>90428902.200000003</v>
      </c>
      <c r="D33" s="68">
        <f t="shared" si="1"/>
        <v>90428902.200000003</v>
      </c>
      <c r="E33" s="68">
        <f t="shared" si="5"/>
        <v>68446119.768000007</v>
      </c>
      <c r="F33" s="68">
        <f t="shared" si="2"/>
        <v>126239981.25</v>
      </c>
      <c r="G33" s="68">
        <f t="shared" si="4"/>
        <v>444349579.85549998</v>
      </c>
      <c r="I33" s="104"/>
      <c r="K33" s="104"/>
    </row>
    <row r="34" spans="1:11" x14ac:dyDescent="0.3">
      <c r="A34" s="236">
        <f t="shared" si="3"/>
        <v>46202</v>
      </c>
      <c r="B34" s="610">
        <f t="shared" si="0"/>
        <v>68805674.4375</v>
      </c>
      <c r="C34" s="68">
        <f t="shared" si="1"/>
        <v>90428902.200000003</v>
      </c>
      <c r="D34" s="68">
        <f t="shared" si="1"/>
        <v>90428902.200000003</v>
      </c>
      <c r="E34" s="68">
        <f t="shared" si="5"/>
        <v>68446119.768000007</v>
      </c>
      <c r="F34" s="68">
        <f t="shared" si="2"/>
        <v>126239981.25</v>
      </c>
      <c r="G34" s="68">
        <f t="shared" si="4"/>
        <v>444349579.85549998</v>
      </c>
      <c r="I34" s="104"/>
      <c r="K34" s="104"/>
    </row>
    <row r="35" spans="1:11" x14ac:dyDescent="0.3">
      <c r="A35" s="236">
        <f t="shared" si="3"/>
        <v>46203</v>
      </c>
      <c r="B35" s="610">
        <f t="shared" si="0"/>
        <v>68805674.4375</v>
      </c>
      <c r="C35" s="68">
        <f t="shared" si="1"/>
        <v>90428902.200000003</v>
      </c>
      <c r="D35" s="68">
        <f t="shared" si="1"/>
        <v>90428902.200000003</v>
      </c>
      <c r="E35" s="68">
        <f t="shared" si="5"/>
        <v>68446119.768000007</v>
      </c>
      <c r="F35" s="68">
        <f t="shared" si="2"/>
        <v>126239981.25</v>
      </c>
      <c r="G35" s="68">
        <f>SUM(B35:F35)</f>
        <v>444349579.85549998</v>
      </c>
      <c r="I35" s="104"/>
      <c r="K35" s="104"/>
    </row>
    <row r="36" spans="1:11" x14ac:dyDescent="0.3">
      <c r="A36" s="395"/>
      <c r="B36" s="395"/>
      <c r="C36" s="396"/>
      <c r="D36" s="396"/>
      <c r="E36" s="396"/>
      <c r="F36" s="396"/>
      <c r="G36" s="397"/>
    </row>
    <row r="37" spans="1:11" x14ac:dyDescent="0.3">
      <c r="A37" s="742" t="s">
        <v>45</v>
      </c>
      <c r="B37" s="742"/>
      <c r="C37" s="742"/>
      <c r="D37" s="742"/>
      <c r="E37" s="742"/>
      <c r="F37" s="742"/>
      <c r="G37" s="742"/>
    </row>
    <row r="38" spans="1:11" s="234" customFormat="1" ht="41.4" x14ac:dyDescent="0.3">
      <c r="A38" s="94" t="s">
        <v>4</v>
      </c>
      <c r="B38" s="237" t="str">
        <f>B5</f>
        <v>2120LCS2600884PK
C.D 02.04.2026 M.D. 29.09.2026</v>
      </c>
      <c r="C38" s="237" t="str">
        <f>C5</f>
        <v>2120LCS2600884PK
C.D 02.04.2026 M.D. 29.09.2026</v>
      </c>
      <c r="D38" s="237" t="s">
        <v>275</v>
      </c>
      <c r="E38" s="237" t="str">
        <f>E5</f>
        <v>2120LCS2603588PK
C.D 17.06.2026 M.D. 14.12.2026</v>
      </c>
      <c r="F38" s="237" t="s">
        <v>276</v>
      </c>
      <c r="G38" s="233" t="s">
        <v>0</v>
      </c>
    </row>
    <row r="39" spans="1:11" s="117" customFormat="1" ht="27.6" x14ac:dyDescent="0.25">
      <c r="A39" s="313" t="s">
        <v>215</v>
      </c>
      <c r="B39" s="323">
        <f>11.63%+0.5%</f>
        <v>0.12130000000000002</v>
      </c>
      <c r="C39" s="323">
        <f>11.63%+0.5%</f>
        <v>0.12130000000000002</v>
      </c>
      <c r="D39" s="323">
        <f>11.56%+0.5%</f>
        <v>0.12060000000000001</v>
      </c>
      <c r="E39" s="323">
        <f>12.19%+0.5%</f>
        <v>0.12689999999999999</v>
      </c>
      <c r="F39" s="323">
        <f>11.46%+0.5%</f>
        <v>0.11960000000000001</v>
      </c>
      <c r="G39" s="238"/>
    </row>
    <row r="40" spans="1:11" x14ac:dyDescent="0.3">
      <c r="A40" s="236">
        <f t="shared" ref="A40:A69" si="6">+A6</f>
        <v>46174</v>
      </c>
      <c r="B40" s="68">
        <f t="shared" ref="B40:F69" si="7">IF(B6&lt;0,0,B6*B$39/365)</f>
        <v>22866.104956900686</v>
      </c>
      <c r="C40" s="68">
        <f t="shared" si="7"/>
        <v>30052.125580438365</v>
      </c>
      <c r="D40" s="68">
        <f t="shared" si="7"/>
        <v>29878.700288547949</v>
      </c>
      <c r="E40" s="68">
        <f t="shared" si="7"/>
        <v>0</v>
      </c>
      <c r="F40" s="68">
        <f t="shared" si="7"/>
        <v>41365.210294520555</v>
      </c>
      <c r="G40" s="68">
        <f>SUM(B40:F40)</f>
        <v>124162.14112040756</v>
      </c>
    </row>
    <row r="41" spans="1:11" x14ac:dyDescent="0.3">
      <c r="A41" s="236">
        <f t="shared" si="6"/>
        <v>46175</v>
      </c>
      <c r="B41" s="68">
        <f t="shared" si="7"/>
        <v>22866.104956900686</v>
      </c>
      <c r="C41" s="68">
        <f t="shared" si="7"/>
        <v>30052.125580438365</v>
      </c>
      <c r="D41" s="68">
        <f t="shared" si="7"/>
        <v>29878.700288547949</v>
      </c>
      <c r="E41" s="68">
        <f t="shared" ref="E41:E69" si="8">IF(E7&lt;0,0,E7*E$39/365)</f>
        <v>0</v>
      </c>
      <c r="F41" s="68">
        <f t="shared" si="7"/>
        <v>41365.210294520555</v>
      </c>
      <c r="G41" s="68">
        <f>SUM(B41:F41)</f>
        <v>124162.14112040756</v>
      </c>
    </row>
    <row r="42" spans="1:11" x14ac:dyDescent="0.3">
      <c r="A42" s="236">
        <f t="shared" si="6"/>
        <v>46176</v>
      </c>
      <c r="B42" s="68">
        <f t="shared" si="7"/>
        <v>22866.104956900686</v>
      </c>
      <c r="C42" s="68">
        <f t="shared" si="7"/>
        <v>30052.125580438365</v>
      </c>
      <c r="D42" s="68">
        <f t="shared" si="7"/>
        <v>29878.700288547949</v>
      </c>
      <c r="E42" s="68">
        <f t="shared" si="8"/>
        <v>0</v>
      </c>
      <c r="F42" s="68">
        <f t="shared" si="7"/>
        <v>41365.210294520555</v>
      </c>
      <c r="G42" s="68">
        <f t="shared" ref="G42:G68" si="9">SUM(B42:F42)</f>
        <v>124162.14112040756</v>
      </c>
    </row>
    <row r="43" spans="1:11" x14ac:dyDescent="0.3">
      <c r="A43" s="236">
        <f t="shared" si="6"/>
        <v>46177</v>
      </c>
      <c r="B43" s="68">
        <f t="shared" si="7"/>
        <v>22866.104956900686</v>
      </c>
      <c r="C43" s="68">
        <f t="shared" si="7"/>
        <v>30052.125580438365</v>
      </c>
      <c r="D43" s="68">
        <f t="shared" si="7"/>
        <v>29878.700288547949</v>
      </c>
      <c r="E43" s="68">
        <f t="shared" si="8"/>
        <v>0</v>
      </c>
      <c r="F43" s="68">
        <f t="shared" si="7"/>
        <v>41365.210294520555</v>
      </c>
      <c r="G43" s="68">
        <f t="shared" si="9"/>
        <v>124162.14112040756</v>
      </c>
    </row>
    <row r="44" spans="1:11" x14ac:dyDescent="0.3">
      <c r="A44" s="236">
        <f t="shared" si="6"/>
        <v>46178</v>
      </c>
      <c r="B44" s="68">
        <f t="shared" si="7"/>
        <v>22866.104956900686</v>
      </c>
      <c r="C44" s="68">
        <f t="shared" si="7"/>
        <v>30052.125580438365</v>
      </c>
      <c r="D44" s="68">
        <f t="shared" si="7"/>
        <v>29878.700288547949</v>
      </c>
      <c r="E44" s="68">
        <f t="shared" si="8"/>
        <v>0</v>
      </c>
      <c r="F44" s="68">
        <f t="shared" si="7"/>
        <v>41365.210294520555</v>
      </c>
      <c r="G44" s="68">
        <f t="shared" si="9"/>
        <v>124162.14112040756</v>
      </c>
    </row>
    <row r="45" spans="1:11" x14ac:dyDescent="0.3">
      <c r="A45" s="236">
        <f t="shared" si="6"/>
        <v>46179</v>
      </c>
      <c r="B45" s="68">
        <f t="shared" si="7"/>
        <v>22866.104956900686</v>
      </c>
      <c r="C45" s="68">
        <f t="shared" si="7"/>
        <v>30052.125580438365</v>
      </c>
      <c r="D45" s="68">
        <f t="shared" si="7"/>
        <v>29878.700288547949</v>
      </c>
      <c r="E45" s="68">
        <f t="shared" si="8"/>
        <v>0</v>
      </c>
      <c r="F45" s="68">
        <f t="shared" si="7"/>
        <v>41365.210294520555</v>
      </c>
      <c r="G45" s="68">
        <f t="shared" si="9"/>
        <v>124162.14112040756</v>
      </c>
    </row>
    <row r="46" spans="1:11" x14ac:dyDescent="0.3">
      <c r="A46" s="236">
        <f t="shared" si="6"/>
        <v>46180</v>
      </c>
      <c r="B46" s="68">
        <f t="shared" si="7"/>
        <v>22866.104956900686</v>
      </c>
      <c r="C46" s="68">
        <f t="shared" si="7"/>
        <v>30052.125580438365</v>
      </c>
      <c r="D46" s="68">
        <f t="shared" si="7"/>
        <v>29878.700288547949</v>
      </c>
      <c r="E46" s="68">
        <f t="shared" si="8"/>
        <v>0</v>
      </c>
      <c r="F46" s="68">
        <f t="shared" si="7"/>
        <v>41365.210294520555</v>
      </c>
      <c r="G46" s="68">
        <f t="shared" si="9"/>
        <v>124162.14112040756</v>
      </c>
    </row>
    <row r="47" spans="1:11" x14ac:dyDescent="0.3">
      <c r="A47" s="236">
        <f t="shared" si="6"/>
        <v>46181</v>
      </c>
      <c r="B47" s="68">
        <f t="shared" si="7"/>
        <v>22866.104956900686</v>
      </c>
      <c r="C47" s="68">
        <f t="shared" si="7"/>
        <v>30052.125580438365</v>
      </c>
      <c r="D47" s="68">
        <f t="shared" si="7"/>
        <v>29878.700288547949</v>
      </c>
      <c r="E47" s="68">
        <f t="shared" si="8"/>
        <v>0</v>
      </c>
      <c r="F47" s="68">
        <f t="shared" si="7"/>
        <v>41365.210294520555</v>
      </c>
      <c r="G47" s="68">
        <f t="shared" si="9"/>
        <v>124162.14112040756</v>
      </c>
    </row>
    <row r="48" spans="1:11" x14ac:dyDescent="0.3">
      <c r="A48" s="236">
        <f t="shared" si="6"/>
        <v>46182</v>
      </c>
      <c r="B48" s="68">
        <f t="shared" si="7"/>
        <v>22866.104956900686</v>
      </c>
      <c r="C48" s="68">
        <f t="shared" si="7"/>
        <v>30052.125580438365</v>
      </c>
      <c r="D48" s="68">
        <f t="shared" si="7"/>
        <v>29878.700288547949</v>
      </c>
      <c r="E48" s="68">
        <f t="shared" si="8"/>
        <v>0</v>
      </c>
      <c r="F48" s="68">
        <f t="shared" si="7"/>
        <v>41365.210294520555</v>
      </c>
      <c r="G48" s="68">
        <f t="shared" si="9"/>
        <v>124162.14112040756</v>
      </c>
    </row>
    <row r="49" spans="1:7" x14ac:dyDescent="0.3">
      <c r="A49" s="236">
        <f t="shared" si="6"/>
        <v>46183</v>
      </c>
      <c r="B49" s="68">
        <f t="shared" si="7"/>
        <v>22866.104956900686</v>
      </c>
      <c r="C49" s="68">
        <f t="shared" si="7"/>
        <v>30052.125580438365</v>
      </c>
      <c r="D49" s="68">
        <f t="shared" si="7"/>
        <v>29878.700288547949</v>
      </c>
      <c r="E49" s="68">
        <f t="shared" si="8"/>
        <v>0</v>
      </c>
      <c r="F49" s="68">
        <f t="shared" si="7"/>
        <v>41365.210294520555</v>
      </c>
      <c r="G49" s="68">
        <f t="shared" si="9"/>
        <v>124162.14112040756</v>
      </c>
    </row>
    <row r="50" spans="1:7" x14ac:dyDescent="0.3">
      <c r="A50" s="236">
        <f t="shared" si="6"/>
        <v>46184</v>
      </c>
      <c r="B50" s="68">
        <f t="shared" si="7"/>
        <v>22866.104956900686</v>
      </c>
      <c r="C50" s="68">
        <f t="shared" si="7"/>
        <v>30052.125580438365</v>
      </c>
      <c r="D50" s="68">
        <f t="shared" si="7"/>
        <v>29878.700288547949</v>
      </c>
      <c r="E50" s="68">
        <f t="shared" si="8"/>
        <v>0</v>
      </c>
      <c r="F50" s="68">
        <f t="shared" si="7"/>
        <v>41365.210294520555</v>
      </c>
      <c r="G50" s="68">
        <f t="shared" si="9"/>
        <v>124162.14112040756</v>
      </c>
    </row>
    <row r="51" spans="1:7" x14ac:dyDescent="0.3">
      <c r="A51" s="236">
        <f t="shared" si="6"/>
        <v>46185</v>
      </c>
      <c r="B51" s="68">
        <f t="shared" si="7"/>
        <v>22866.104956900686</v>
      </c>
      <c r="C51" s="68">
        <f t="shared" si="7"/>
        <v>30052.125580438365</v>
      </c>
      <c r="D51" s="68">
        <f t="shared" si="7"/>
        <v>29878.700288547949</v>
      </c>
      <c r="E51" s="68">
        <f t="shared" si="8"/>
        <v>0</v>
      </c>
      <c r="F51" s="68">
        <f t="shared" si="7"/>
        <v>41365.210294520555</v>
      </c>
      <c r="G51" s="68">
        <f t="shared" si="9"/>
        <v>124162.14112040756</v>
      </c>
    </row>
    <row r="52" spans="1:7" x14ac:dyDescent="0.3">
      <c r="A52" s="236">
        <f t="shared" si="6"/>
        <v>46186</v>
      </c>
      <c r="B52" s="68">
        <f t="shared" si="7"/>
        <v>22866.104956900686</v>
      </c>
      <c r="C52" s="68">
        <f t="shared" si="7"/>
        <v>30052.125580438365</v>
      </c>
      <c r="D52" s="68">
        <f t="shared" si="7"/>
        <v>29878.700288547949</v>
      </c>
      <c r="E52" s="68">
        <f t="shared" si="8"/>
        <v>0</v>
      </c>
      <c r="F52" s="68">
        <f t="shared" si="7"/>
        <v>41365.210294520555</v>
      </c>
      <c r="G52" s="68">
        <f t="shared" si="9"/>
        <v>124162.14112040756</v>
      </c>
    </row>
    <row r="53" spans="1:7" x14ac:dyDescent="0.3">
      <c r="A53" s="236">
        <f t="shared" si="6"/>
        <v>46187</v>
      </c>
      <c r="B53" s="68">
        <f t="shared" si="7"/>
        <v>22866.104956900686</v>
      </c>
      <c r="C53" s="68">
        <f t="shared" si="7"/>
        <v>30052.125580438365</v>
      </c>
      <c r="D53" s="68">
        <f t="shared" si="7"/>
        <v>29878.700288547949</v>
      </c>
      <c r="E53" s="68">
        <f t="shared" si="8"/>
        <v>0</v>
      </c>
      <c r="F53" s="68">
        <f t="shared" si="7"/>
        <v>41365.210294520555</v>
      </c>
      <c r="G53" s="68">
        <f t="shared" si="9"/>
        <v>124162.14112040756</v>
      </c>
    </row>
    <row r="54" spans="1:7" x14ac:dyDescent="0.3">
      <c r="A54" s="236">
        <f t="shared" si="6"/>
        <v>46188</v>
      </c>
      <c r="B54" s="68">
        <f t="shared" si="7"/>
        <v>22866.104956900686</v>
      </c>
      <c r="C54" s="68">
        <f t="shared" si="7"/>
        <v>30052.125580438365</v>
      </c>
      <c r="D54" s="68">
        <f t="shared" si="7"/>
        <v>29878.700288547949</v>
      </c>
      <c r="E54" s="68">
        <f t="shared" si="8"/>
        <v>0</v>
      </c>
      <c r="F54" s="68">
        <f t="shared" si="7"/>
        <v>41365.210294520555</v>
      </c>
      <c r="G54" s="68">
        <f t="shared" si="9"/>
        <v>124162.14112040756</v>
      </c>
    </row>
    <row r="55" spans="1:7" x14ac:dyDescent="0.3">
      <c r="A55" s="236">
        <f t="shared" si="6"/>
        <v>46189</v>
      </c>
      <c r="B55" s="68">
        <f t="shared" si="7"/>
        <v>22866.104956900686</v>
      </c>
      <c r="C55" s="68">
        <f t="shared" si="7"/>
        <v>30052.125580438365</v>
      </c>
      <c r="D55" s="68">
        <f t="shared" si="7"/>
        <v>29878.700288547949</v>
      </c>
      <c r="E55" s="68">
        <f t="shared" si="8"/>
        <v>0</v>
      </c>
      <c r="F55" s="68">
        <f t="shared" si="7"/>
        <v>41365.210294520555</v>
      </c>
      <c r="G55" s="68">
        <f>SUM(B55:F55)</f>
        <v>124162.14112040756</v>
      </c>
    </row>
    <row r="56" spans="1:7" x14ac:dyDescent="0.3">
      <c r="A56" s="236">
        <f t="shared" si="6"/>
        <v>46190</v>
      </c>
      <c r="B56" s="68">
        <f t="shared" si="7"/>
        <v>22866.104956900686</v>
      </c>
      <c r="C56" s="68">
        <f t="shared" si="7"/>
        <v>30052.125580438365</v>
      </c>
      <c r="D56" s="68">
        <f t="shared" si="7"/>
        <v>29878.700288547949</v>
      </c>
      <c r="E56" s="68">
        <f t="shared" si="8"/>
        <v>23796.746845367667</v>
      </c>
      <c r="F56" s="68">
        <f t="shared" si="7"/>
        <v>41365.210294520555</v>
      </c>
      <c r="G56" s="68">
        <f t="shared" si="9"/>
        <v>147958.88796577521</v>
      </c>
    </row>
    <row r="57" spans="1:7" x14ac:dyDescent="0.3">
      <c r="A57" s="236">
        <f t="shared" si="6"/>
        <v>46191</v>
      </c>
      <c r="B57" s="68">
        <f t="shared" si="7"/>
        <v>22866.104956900686</v>
      </c>
      <c r="C57" s="68">
        <f t="shared" si="7"/>
        <v>30052.125580438365</v>
      </c>
      <c r="D57" s="68">
        <f t="shared" si="7"/>
        <v>29878.700288547949</v>
      </c>
      <c r="E57" s="68">
        <f t="shared" si="8"/>
        <v>23796.746845367667</v>
      </c>
      <c r="F57" s="68">
        <f t="shared" si="7"/>
        <v>41365.210294520555</v>
      </c>
      <c r="G57" s="68">
        <f t="shared" si="9"/>
        <v>147958.88796577521</v>
      </c>
    </row>
    <row r="58" spans="1:7" x14ac:dyDescent="0.3">
      <c r="A58" s="236">
        <f t="shared" si="6"/>
        <v>46192</v>
      </c>
      <c r="B58" s="68">
        <f t="shared" si="7"/>
        <v>22866.104956900686</v>
      </c>
      <c r="C58" s="68">
        <f t="shared" si="7"/>
        <v>30052.125580438365</v>
      </c>
      <c r="D58" s="68">
        <f t="shared" si="7"/>
        <v>29878.700288547949</v>
      </c>
      <c r="E58" s="68">
        <f t="shared" si="8"/>
        <v>23796.746845367667</v>
      </c>
      <c r="F58" s="68">
        <f t="shared" si="7"/>
        <v>41365.210294520555</v>
      </c>
      <c r="G58" s="68">
        <f t="shared" si="9"/>
        <v>147958.88796577521</v>
      </c>
    </row>
    <row r="59" spans="1:7" x14ac:dyDescent="0.3">
      <c r="A59" s="236">
        <f t="shared" si="6"/>
        <v>46193</v>
      </c>
      <c r="B59" s="68">
        <f t="shared" si="7"/>
        <v>22866.104956900686</v>
      </c>
      <c r="C59" s="68">
        <f t="shared" si="7"/>
        <v>30052.125580438365</v>
      </c>
      <c r="D59" s="68">
        <f t="shared" si="7"/>
        <v>29878.700288547949</v>
      </c>
      <c r="E59" s="68">
        <f t="shared" si="8"/>
        <v>23796.746845367667</v>
      </c>
      <c r="F59" s="68">
        <f t="shared" si="7"/>
        <v>41365.210294520555</v>
      </c>
      <c r="G59" s="68">
        <f t="shared" si="9"/>
        <v>147958.88796577521</v>
      </c>
    </row>
    <row r="60" spans="1:7" x14ac:dyDescent="0.3">
      <c r="A60" s="236">
        <f t="shared" si="6"/>
        <v>46194</v>
      </c>
      <c r="B60" s="68">
        <f t="shared" si="7"/>
        <v>22866.104956900686</v>
      </c>
      <c r="C60" s="68">
        <f t="shared" si="7"/>
        <v>30052.125580438365</v>
      </c>
      <c r="D60" s="68">
        <f t="shared" si="7"/>
        <v>29878.700288547949</v>
      </c>
      <c r="E60" s="68">
        <f t="shared" si="8"/>
        <v>23796.746845367667</v>
      </c>
      <c r="F60" s="68">
        <f t="shared" si="7"/>
        <v>41365.210294520555</v>
      </c>
      <c r="G60" s="68">
        <f t="shared" si="9"/>
        <v>147958.88796577521</v>
      </c>
    </row>
    <row r="61" spans="1:7" x14ac:dyDescent="0.3">
      <c r="A61" s="236">
        <f t="shared" si="6"/>
        <v>46195</v>
      </c>
      <c r="B61" s="68">
        <f t="shared" si="7"/>
        <v>22866.104956900686</v>
      </c>
      <c r="C61" s="68">
        <f t="shared" si="7"/>
        <v>30052.125580438365</v>
      </c>
      <c r="D61" s="68">
        <f t="shared" si="7"/>
        <v>29878.700288547949</v>
      </c>
      <c r="E61" s="68">
        <f t="shared" si="8"/>
        <v>23796.746845367667</v>
      </c>
      <c r="F61" s="68">
        <f t="shared" si="7"/>
        <v>41365.210294520555</v>
      </c>
      <c r="G61" s="68">
        <f t="shared" si="9"/>
        <v>147958.88796577521</v>
      </c>
    </row>
    <row r="62" spans="1:7" x14ac:dyDescent="0.3">
      <c r="A62" s="236">
        <f t="shared" si="6"/>
        <v>46196</v>
      </c>
      <c r="B62" s="68">
        <f t="shared" si="7"/>
        <v>22866.104956900686</v>
      </c>
      <c r="C62" s="68">
        <f t="shared" si="7"/>
        <v>30052.125580438365</v>
      </c>
      <c r="D62" s="68">
        <f t="shared" si="7"/>
        <v>29878.700288547949</v>
      </c>
      <c r="E62" s="68">
        <f t="shared" si="8"/>
        <v>23796.746845367667</v>
      </c>
      <c r="F62" s="68">
        <f t="shared" si="7"/>
        <v>41365.210294520555</v>
      </c>
      <c r="G62" s="68">
        <f t="shared" si="9"/>
        <v>147958.88796577521</v>
      </c>
    </row>
    <row r="63" spans="1:7" ht="14.4" customHeight="1" x14ac:dyDescent="0.3">
      <c r="A63" s="236">
        <f t="shared" si="6"/>
        <v>46197</v>
      </c>
      <c r="B63" s="68">
        <f t="shared" si="7"/>
        <v>22866.104956900686</v>
      </c>
      <c r="C63" s="68">
        <f t="shared" si="7"/>
        <v>30052.125580438365</v>
      </c>
      <c r="D63" s="68">
        <f t="shared" si="7"/>
        <v>29878.700288547949</v>
      </c>
      <c r="E63" s="68">
        <f t="shared" si="8"/>
        <v>23796.746845367667</v>
      </c>
      <c r="F63" s="68">
        <f t="shared" si="7"/>
        <v>41365.210294520555</v>
      </c>
      <c r="G63" s="68">
        <f t="shared" si="9"/>
        <v>147958.88796577521</v>
      </c>
    </row>
    <row r="64" spans="1:7" x14ac:dyDescent="0.3">
      <c r="A64" s="236">
        <f t="shared" si="6"/>
        <v>46198</v>
      </c>
      <c r="B64" s="68">
        <f t="shared" si="7"/>
        <v>22866.104956900686</v>
      </c>
      <c r="C64" s="68">
        <f t="shared" si="7"/>
        <v>30052.125580438365</v>
      </c>
      <c r="D64" s="68">
        <f t="shared" si="7"/>
        <v>29878.700288547949</v>
      </c>
      <c r="E64" s="68">
        <f t="shared" si="8"/>
        <v>23796.746845367667</v>
      </c>
      <c r="F64" s="68">
        <f t="shared" si="7"/>
        <v>41365.210294520555</v>
      </c>
      <c r="G64" s="68">
        <f t="shared" si="9"/>
        <v>147958.88796577521</v>
      </c>
    </row>
    <row r="65" spans="1:10" x14ac:dyDescent="0.3">
      <c r="A65" s="236">
        <f t="shared" si="6"/>
        <v>46199</v>
      </c>
      <c r="B65" s="68">
        <f t="shared" si="7"/>
        <v>22866.104956900686</v>
      </c>
      <c r="C65" s="68">
        <f t="shared" si="7"/>
        <v>30052.125580438365</v>
      </c>
      <c r="D65" s="68">
        <f t="shared" si="7"/>
        <v>29878.700288547949</v>
      </c>
      <c r="E65" s="68">
        <f t="shared" si="8"/>
        <v>23796.746845367667</v>
      </c>
      <c r="F65" s="68">
        <f t="shared" si="7"/>
        <v>41365.210294520555</v>
      </c>
      <c r="G65" s="68">
        <f t="shared" si="9"/>
        <v>147958.88796577521</v>
      </c>
    </row>
    <row r="66" spans="1:10" x14ac:dyDescent="0.3">
      <c r="A66" s="236">
        <f t="shared" si="6"/>
        <v>46200</v>
      </c>
      <c r="B66" s="68">
        <f t="shared" si="7"/>
        <v>22866.104956900686</v>
      </c>
      <c r="C66" s="68">
        <f t="shared" si="7"/>
        <v>30052.125580438365</v>
      </c>
      <c r="D66" s="68">
        <f t="shared" si="7"/>
        <v>29878.700288547949</v>
      </c>
      <c r="E66" s="68">
        <f t="shared" si="8"/>
        <v>23796.746845367667</v>
      </c>
      <c r="F66" s="68">
        <f t="shared" si="7"/>
        <v>41365.210294520555</v>
      </c>
      <c r="G66" s="68">
        <f t="shared" si="9"/>
        <v>147958.88796577521</v>
      </c>
    </row>
    <row r="67" spans="1:10" x14ac:dyDescent="0.3">
      <c r="A67" s="236">
        <f t="shared" si="6"/>
        <v>46201</v>
      </c>
      <c r="B67" s="68">
        <f t="shared" si="7"/>
        <v>22866.104956900686</v>
      </c>
      <c r="C67" s="68">
        <f t="shared" si="7"/>
        <v>30052.125580438365</v>
      </c>
      <c r="D67" s="68">
        <f t="shared" si="7"/>
        <v>29878.700288547949</v>
      </c>
      <c r="E67" s="68">
        <f t="shared" si="8"/>
        <v>23796.746845367667</v>
      </c>
      <c r="F67" s="68">
        <f t="shared" si="7"/>
        <v>41365.210294520555</v>
      </c>
      <c r="G67" s="68">
        <f t="shared" si="9"/>
        <v>147958.88796577521</v>
      </c>
    </row>
    <row r="68" spans="1:10" x14ac:dyDescent="0.3">
      <c r="A68" s="236">
        <f t="shared" si="6"/>
        <v>46202</v>
      </c>
      <c r="B68" s="68">
        <f t="shared" si="7"/>
        <v>22866.104956900686</v>
      </c>
      <c r="C68" s="68">
        <f t="shared" si="7"/>
        <v>30052.125580438365</v>
      </c>
      <c r="D68" s="68">
        <f t="shared" si="7"/>
        <v>29878.700288547949</v>
      </c>
      <c r="E68" s="68">
        <f t="shared" si="8"/>
        <v>23796.746845367667</v>
      </c>
      <c r="F68" s="68">
        <f t="shared" si="7"/>
        <v>41365.210294520555</v>
      </c>
      <c r="G68" s="68">
        <f t="shared" si="9"/>
        <v>147958.88796577521</v>
      </c>
    </row>
    <row r="69" spans="1:10" x14ac:dyDescent="0.3">
      <c r="A69" s="236">
        <f t="shared" si="6"/>
        <v>46203</v>
      </c>
      <c r="B69" s="68">
        <f t="shared" si="7"/>
        <v>22866.104956900686</v>
      </c>
      <c r="C69" s="68">
        <f t="shared" si="7"/>
        <v>30052.125580438365</v>
      </c>
      <c r="D69" s="68">
        <f t="shared" si="7"/>
        <v>29878.700288547949</v>
      </c>
      <c r="E69" s="68">
        <f t="shared" si="8"/>
        <v>23796.746845367667</v>
      </c>
      <c r="F69" s="68">
        <f t="shared" si="7"/>
        <v>41365.210294520555</v>
      </c>
      <c r="G69" s="68">
        <f>SUM(B69:F69)</f>
        <v>147958.88796577521</v>
      </c>
    </row>
    <row r="70" spans="1:10" x14ac:dyDescent="0.3">
      <c r="A70" s="8" t="s">
        <v>18</v>
      </c>
      <c r="B70" s="239">
        <f t="shared" ref="B70:G70" si="10">SUM(B40:B69)</f>
        <v>685983.14870702091</v>
      </c>
      <c r="C70" s="239">
        <f t="shared" si="10"/>
        <v>901563.76741315145</v>
      </c>
      <c r="D70" s="239">
        <f t="shared" si="10"/>
        <v>896361.00865643797</v>
      </c>
      <c r="E70" s="239">
        <f t="shared" si="10"/>
        <v>333154.45583514724</v>
      </c>
      <c r="F70" s="239">
        <f t="shared" si="10"/>
        <v>1240956.3088356168</v>
      </c>
      <c r="G70" s="239">
        <f t="shared" si="10"/>
        <v>4058018.6894473718</v>
      </c>
      <c r="H70" s="312"/>
    </row>
    <row r="71" spans="1:10" x14ac:dyDescent="0.3">
      <c r="A71" s="739"/>
      <c r="B71" s="739"/>
      <c r="C71" s="739"/>
      <c r="D71" s="739"/>
      <c r="E71" s="739"/>
      <c r="F71" s="739"/>
      <c r="G71" s="739"/>
    </row>
    <row r="72" spans="1:10" x14ac:dyDescent="0.3">
      <c r="A72" s="742" t="s">
        <v>52</v>
      </c>
      <c r="B72" s="742"/>
      <c r="C72" s="742"/>
      <c r="D72" s="742"/>
      <c r="E72" s="742"/>
      <c r="F72" s="742"/>
      <c r="G72" s="742"/>
    </row>
    <row r="73" spans="1:10" s="234" customFormat="1" ht="45" customHeight="1" x14ac:dyDescent="0.3">
      <c r="A73" s="94" t="s">
        <v>22</v>
      </c>
      <c r="B73" s="237" t="str">
        <f>B5</f>
        <v>2120LCS2600884PK
C.D 02.04.2026 M.D. 29.09.2026</v>
      </c>
      <c r="C73" s="237" t="str">
        <f>C5</f>
        <v>2120LCS2600884PK
C.D 02.04.2026 M.D. 29.09.2026</v>
      </c>
      <c r="D73" s="237" t="s">
        <v>275</v>
      </c>
      <c r="E73" s="237" t="str">
        <f>E5</f>
        <v>2120LCS2603588PK
C.D 17.06.2026 M.D. 14.12.2026</v>
      </c>
      <c r="F73" s="237" t="s">
        <v>276</v>
      </c>
      <c r="G73" s="233" t="s">
        <v>0</v>
      </c>
    </row>
    <row r="74" spans="1:10" x14ac:dyDescent="0.3">
      <c r="A74" s="240" t="s">
        <v>19</v>
      </c>
      <c r="B74" s="245">
        <f>'[2]ASKARI-FATR'!$B$87</f>
        <v>1371966.2974140418</v>
      </c>
      <c r="C74" s="245">
        <f>'[2]ASKARI-FATR'!$C$87</f>
        <v>1803127.5348263029</v>
      </c>
      <c r="D74" s="245">
        <f>'[2]ASKARI-FATR'!$D$87</f>
        <v>1553692.4150044927</v>
      </c>
      <c r="E74" s="245">
        <v>0</v>
      </c>
      <c r="F74" s="245">
        <f>'[2]ASKARI-FATR'!$E$87</f>
        <v>1695973.6220753428</v>
      </c>
      <c r="G74" s="215">
        <f>SUM(B74:F74)</f>
        <v>6424759.8693201803</v>
      </c>
      <c r="H74" s="193"/>
    </row>
    <row r="75" spans="1:10" x14ac:dyDescent="0.3">
      <c r="A75" s="240" t="s">
        <v>20</v>
      </c>
      <c r="B75" s="68">
        <f>B70</f>
        <v>685983.14870702091</v>
      </c>
      <c r="C75" s="68">
        <f>C70</f>
        <v>901563.76741315145</v>
      </c>
      <c r="D75" s="68">
        <f>D70</f>
        <v>896361.00865643797</v>
      </c>
      <c r="E75" s="68">
        <f>E70</f>
        <v>333154.45583514724</v>
      </c>
      <c r="F75" s="68">
        <f>F70</f>
        <v>1240956.3088356168</v>
      </c>
      <c r="G75" s="98">
        <f>SUM(B75:F75)</f>
        <v>4058018.6894473745</v>
      </c>
      <c r="I75" s="69"/>
      <c r="J75" s="312"/>
    </row>
    <row r="76" spans="1:10" x14ac:dyDescent="0.3">
      <c r="A76" s="240" t="s">
        <v>29</v>
      </c>
      <c r="B76" s="98">
        <v>0</v>
      </c>
      <c r="C76" s="98">
        <v>0</v>
      </c>
      <c r="D76" s="98">
        <v>0</v>
      </c>
      <c r="E76" s="98"/>
      <c r="F76" s="98">
        <v>0</v>
      </c>
      <c r="G76" s="98">
        <f>SUM(B76:F76)</f>
        <v>0</v>
      </c>
    </row>
    <row r="77" spans="1:10" x14ac:dyDescent="0.3">
      <c r="A77" s="240" t="s">
        <v>18</v>
      </c>
      <c r="B77" s="68">
        <f>SUM(B74:B76)</f>
        <v>2057949.4461210626</v>
      </c>
      <c r="C77" s="68">
        <f>SUM(C74:C76)</f>
        <v>2704691.3022394544</v>
      </c>
      <c r="D77" s="68">
        <f>SUM(D74:D76)</f>
        <v>2450053.4236609307</v>
      </c>
      <c r="E77" s="68">
        <f>SUM(E74:E76)</f>
        <v>333154.45583514724</v>
      </c>
      <c r="F77" s="68">
        <f>SUM(F74:F76)</f>
        <v>2936929.9309109598</v>
      </c>
      <c r="G77" s="215">
        <f>SUM(B77:F77)</f>
        <v>10482778.558767553</v>
      </c>
    </row>
    <row r="78" spans="1:10" x14ac:dyDescent="0.3">
      <c r="A78" s="738"/>
      <c r="B78" s="738"/>
      <c r="C78" s="738"/>
      <c r="D78" s="738"/>
      <c r="E78" s="738"/>
      <c r="F78" s="738"/>
      <c r="G78" s="738"/>
    </row>
    <row r="79" spans="1:10" x14ac:dyDescent="0.3">
      <c r="A79" s="241" t="s">
        <v>32</v>
      </c>
      <c r="B79" s="119">
        <v>0</v>
      </c>
      <c r="C79" s="119">
        <v>0</v>
      </c>
      <c r="D79" s="119">
        <v>0</v>
      </c>
      <c r="E79" s="119">
        <v>0</v>
      </c>
      <c r="F79" s="119">
        <v>0</v>
      </c>
      <c r="G79" s="73">
        <f>SUM(B79:F79)</f>
        <v>0</v>
      </c>
      <c r="H79" s="242"/>
      <c r="I79" s="312"/>
    </row>
    <row r="80" spans="1:10" x14ac:dyDescent="0.3">
      <c r="A80" s="739"/>
      <c r="B80" s="739"/>
      <c r="C80" s="739"/>
      <c r="D80" s="739"/>
      <c r="E80" s="739"/>
      <c r="F80" s="739"/>
      <c r="G80" s="739"/>
    </row>
    <row r="81" spans="1:7" x14ac:dyDescent="0.3">
      <c r="A81" s="241" t="s">
        <v>11</v>
      </c>
      <c r="B81" s="119"/>
      <c r="C81" s="119"/>
      <c r="D81" s="119"/>
      <c r="E81" s="119"/>
      <c r="F81" s="119"/>
      <c r="G81" s="73">
        <f>SUM(B81:F81)</f>
        <v>0</v>
      </c>
    </row>
    <row r="82" spans="1:7" x14ac:dyDescent="0.3">
      <c r="A82" s="739"/>
      <c r="B82" s="739"/>
      <c r="C82" s="739"/>
      <c r="D82" s="739"/>
      <c r="E82" s="739"/>
      <c r="F82" s="739"/>
      <c r="G82" s="739"/>
    </row>
    <row r="83" spans="1:7" x14ac:dyDescent="0.3">
      <c r="A83" s="243" t="s">
        <v>21</v>
      </c>
      <c r="B83" s="74">
        <f>B70+B81+B76</f>
        <v>685983.14870702091</v>
      </c>
      <c r="C83" s="74">
        <f>C70+C81+D76</f>
        <v>901563.76741315145</v>
      </c>
      <c r="D83" s="74">
        <f>D70+D81+F76</f>
        <v>896361.00865643797</v>
      </c>
      <c r="E83" s="74">
        <f>E70+E81+G76</f>
        <v>333154.45583514724</v>
      </c>
      <c r="F83" s="74">
        <f>F70+F81+G76</f>
        <v>1240956.3088356168</v>
      </c>
      <c r="G83" s="74">
        <f>SUM(B83:F83)</f>
        <v>4058018.6894473745</v>
      </c>
    </row>
    <row r="84" spans="1:7" x14ac:dyDescent="0.3">
      <c r="A84" s="739"/>
      <c r="B84" s="739"/>
      <c r="C84" s="739"/>
      <c r="D84" s="739"/>
      <c r="E84" s="739"/>
      <c r="F84" s="739"/>
      <c r="G84" s="739"/>
    </row>
    <row r="85" spans="1:7" x14ac:dyDescent="0.3">
      <c r="A85" s="244" t="s">
        <v>33</v>
      </c>
      <c r="B85" s="245">
        <f>B77+B81-B79</f>
        <v>2057949.4461210626</v>
      </c>
      <c r="C85" s="245">
        <f>C77+C81-C79</f>
        <v>2704691.3022394544</v>
      </c>
      <c r="D85" s="245">
        <f>D77+D81-D79</f>
        <v>2450053.4236609307</v>
      </c>
      <c r="E85" s="245">
        <f>E77+E81-E79</f>
        <v>333154.45583514724</v>
      </c>
      <c r="F85" s="245">
        <f>F77+F81-F79</f>
        <v>2936929.9309109598</v>
      </c>
      <c r="G85" s="245">
        <f>SUM(B85:F85)</f>
        <v>10482778.558767553</v>
      </c>
    </row>
  </sheetData>
  <mergeCells count="10">
    <mergeCell ref="A78:G78"/>
    <mergeCell ref="A80:G80"/>
    <mergeCell ref="A82:G82"/>
    <mergeCell ref="A84:G84"/>
    <mergeCell ref="A1:G1"/>
    <mergeCell ref="A3:G3"/>
    <mergeCell ref="A4:G4"/>
    <mergeCell ref="A37:G37"/>
    <mergeCell ref="A71:G71"/>
    <mergeCell ref="A72:G72"/>
  </mergeCells>
  <printOptions horizontalCentered="1" verticalCentered="1"/>
  <pageMargins left="0.25" right="0.25" top="0.5" bottom="0.5" header="0.5" footer="0.5"/>
  <pageSetup scale="42" orientation="landscape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1C8E6-23D6-431F-9CC5-070033860188}">
  <sheetPr>
    <pageSetUpPr fitToPage="1"/>
  </sheetPr>
  <dimension ref="A1:G85"/>
  <sheetViews>
    <sheetView showGridLines="0" zoomScale="95" zoomScaleNormal="95" workbookViewId="0">
      <selection activeCell="C6" sqref="C6"/>
    </sheetView>
  </sheetViews>
  <sheetFormatPr defaultColWidth="8.90625" defaultRowHeight="14.4" x14ac:dyDescent="0.3"/>
  <cols>
    <col min="1" max="1" width="16.1796875" style="646" customWidth="1"/>
    <col min="2" max="2" width="15.36328125" style="646" customWidth="1"/>
    <col min="3" max="3" width="13.6328125" style="646" customWidth="1"/>
    <col min="4" max="4" width="8.90625" style="2"/>
    <col min="5" max="5" width="8.54296875" style="2" bestFit="1" customWidth="1"/>
    <col min="6" max="6" width="3.1796875" style="2" bestFit="1" customWidth="1"/>
    <col min="7" max="7" width="8.453125" style="2" customWidth="1"/>
    <col min="8" max="16384" width="8.90625" style="2"/>
  </cols>
  <sheetData>
    <row r="1" spans="1:7" ht="18" x14ac:dyDescent="0.35">
      <c r="A1" s="6" t="s">
        <v>195</v>
      </c>
      <c r="B1" s="95"/>
      <c r="C1" s="1"/>
    </row>
    <row r="2" spans="1:7" ht="18.600000000000001" thickBot="1" x14ac:dyDescent="0.4">
      <c r="A2" s="647" t="s">
        <v>285</v>
      </c>
      <c r="B2" s="630"/>
      <c r="C2" s="55">
        <f>'FINANCIAL COST SUMMARY '!I2</f>
        <v>46174</v>
      </c>
    </row>
    <row r="3" spans="1:7" ht="13.8" x14ac:dyDescent="0.3">
      <c r="A3" s="3"/>
      <c r="B3" s="93"/>
      <c r="C3" s="93"/>
    </row>
    <row r="4" spans="1:7" x14ac:dyDescent="0.3">
      <c r="A4" s="788" t="s">
        <v>23</v>
      </c>
      <c r="B4" s="788"/>
      <c r="C4" s="788"/>
    </row>
    <row r="5" spans="1:7" s="103" customFormat="1" ht="54.6" customHeight="1" x14ac:dyDescent="0.25">
      <c r="A5" s="631" t="s">
        <v>4</v>
      </c>
      <c r="B5" s="632" t="s">
        <v>286</v>
      </c>
      <c r="C5" s="632" t="s">
        <v>0</v>
      </c>
      <c r="E5" s="105">
        <v>46146</v>
      </c>
      <c r="F5" s="103">
        <v>120</v>
      </c>
      <c r="G5" s="105">
        <f>E5+F5</f>
        <v>46266</v>
      </c>
    </row>
    <row r="6" spans="1:7" x14ac:dyDescent="0.3">
      <c r="A6" s="633">
        <v>46174</v>
      </c>
      <c r="B6" s="634">
        <f>44000000</f>
        <v>44000000</v>
      </c>
      <c r="C6" s="635">
        <f t="shared" ref="C6:C35" si="0">SUM(B6:B6)</f>
        <v>44000000</v>
      </c>
      <c r="D6" s="59"/>
      <c r="E6" s="104"/>
      <c r="G6" s="104"/>
    </row>
    <row r="7" spans="1:7" x14ac:dyDescent="0.3">
      <c r="A7" s="633">
        <f>A6+1</f>
        <v>46175</v>
      </c>
      <c r="B7" s="634">
        <f>44000000</f>
        <v>44000000</v>
      </c>
      <c r="C7" s="635">
        <f t="shared" si="0"/>
        <v>44000000</v>
      </c>
      <c r="D7" s="104"/>
      <c r="E7" s="106"/>
      <c r="F7" s="104"/>
      <c r="G7" s="104"/>
    </row>
    <row r="8" spans="1:7" x14ac:dyDescent="0.3">
      <c r="A8" s="633">
        <f t="shared" ref="A8:A35" si="1">A7+1</f>
        <v>46176</v>
      </c>
      <c r="B8" s="634">
        <f>44000000</f>
        <v>44000000</v>
      </c>
      <c r="C8" s="635">
        <f t="shared" si="0"/>
        <v>44000000</v>
      </c>
    </row>
    <row r="9" spans="1:7" x14ac:dyDescent="0.3">
      <c r="A9" s="633">
        <f t="shared" si="1"/>
        <v>46177</v>
      </c>
      <c r="B9" s="634">
        <f>44000000</f>
        <v>44000000</v>
      </c>
      <c r="C9" s="635">
        <f t="shared" si="0"/>
        <v>44000000</v>
      </c>
    </row>
    <row r="10" spans="1:7" x14ac:dyDescent="0.3">
      <c r="A10" s="633">
        <f t="shared" si="1"/>
        <v>46178</v>
      </c>
      <c r="B10" s="634">
        <f t="shared" ref="B10:B35" si="2">44000000</f>
        <v>44000000</v>
      </c>
      <c r="C10" s="635">
        <f t="shared" si="0"/>
        <v>44000000</v>
      </c>
    </row>
    <row r="11" spans="1:7" x14ac:dyDescent="0.3">
      <c r="A11" s="633">
        <f t="shared" si="1"/>
        <v>46179</v>
      </c>
      <c r="B11" s="634">
        <f t="shared" si="2"/>
        <v>44000000</v>
      </c>
      <c r="C11" s="635">
        <f t="shared" si="0"/>
        <v>44000000</v>
      </c>
    </row>
    <row r="12" spans="1:7" x14ac:dyDescent="0.3">
      <c r="A12" s="633">
        <f t="shared" si="1"/>
        <v>46180</v>
      </c>
      <c r="B12" s="634">
        <f t="shared" si="2"/>
        <v>44000000</v>
      </c>
      <c r="C12" s="635">
        <f t="shared" si="0"/>
        <v>44000000</v>
      </c>
      <c r="D12" s="104"/>
      <c r="F12" s="104"/>
    </row>
    <row r="13" spans="1:7" x14ac:dyDescent="0.3">
      <c r="A13" s="633">
        <f t="shared" si="1"/>
        <v>46181</v>
      </c>
      <c r="B13" s="634">
        <f t="shared" si="2"/>
        <v>44000000</v>
      </c>
      <c r="C13" s="635">
        <f t="shared" si="0"/>
        <v>44000000</v>
      </c>
    </row>
    <row r="14" spans="1:7" x14ac:dyDescent="0.3">
      <c r="A14" s="633">
        <f t="shared" si="1"/>
        <v>46182</v>
      </c>
      <c r="B14" s="634">
        <f t="shared" si="2"/>
        <v>44000000</v>
      </c>
      <c r="C14" s="635">
        <f t="shared" si="0"/>
        <v>44000000</v>
      </c>
    </row>
    <row r="15" spans="1:7" x14ac:dyDescent="0.3">
      <c r="A15" s="633">
        <f t="shared" si="1"/>
        <v>46183</v>
      </c>
      <c r="B15" s="634">
        <f t="shared" si="2"/>
        <v>44000000</v>
      </c>
      <c r="C15" s="635">
        <f t="shared" si="0"/>
        <v>44000000</v>
      </c>
    </row>
    <row r="16" spans="1:7" x14ac:dyDescent="0.3">
      <c r="A16" s="633">
        <f t="shared" si="1"/>
        <v>46184</v>
      </c>
      <c r="B16" s="634">
        <f t="shared" si="2"/>
        <v>44000000</v>
      </c>
      <c r="C16" s="635">
        <f t="shared" si="0"/>
        <v>44000000</v>
      </c>
    </row>
    <row r="17" spans="1:3" x14ac:dyDescent="0.3">
      <c r="A17" s="633">
        <f t="shared" si="1"/>
        <v>46185</v>
      </c>
      <c r="B17" s="634">
        <f t="shared" si="2"/>
        <v>44000000</v>
      </c>
      <c r="C17" s="635">
        <f t="shared" si="0"/>
        <v>44000000</v>
      </c>
    </row>
    <row r="18" spans="1:3" x14ac:dyDescent="0.3">
      <c r="A18" s="633">
        <f t="shared" si="1"/>
        <v>46186</v>
      </c>
      <c r="B18" s="634">
        <f t="shared" si="2"/>
        <v>44000000</v>
      </c>
      <c r="C18" s="635">
        <f t="shared" si="0"/>
        <v>44000000</v>
      </c>
    </row>
    <row r="19" spans="1:3" x14ac:dyDescent="0.3">
      <c r="A19" s="633">
        <f t="shared" si="1"/>
        <v>46187</v>
      </c>
      <c r="B19" s="634">
        <f t="shared" si="2"/>
        <v>44000000</v>
      </c>
      <c r="C19" s="635">
        <f t="shared" si="0"/>
        <v>44000000</v>
      </c>
    </row>
    <row r="20" spans="1:3" x14ac:dyDescent="0.3">
      <c r="A20" s="633">
        <f t="shared" si="1"/>
        <v>46188</v>
      </c>
      <c r="B20" s="634">
        <f t="shared" si="2"/>
        <v>44000000</v>
      </c>
      <c r="C20" s="635">
        <f t="shared" si="0"/>
        <v>44000000</v>
      </c>
    </row>
    <row r="21" spans="1:3" x14ac:dyDescent="0.3">
      <c r="A21" s="633">
        <f t="shared" si="1"/>
        <v>46189</v>
      </c>
      <c r="B21" s="634">
        <f t="shared" si="2"/>
        <v>44000000</v>
      </c>
      <c r="C21" s="635">
        <f t="shared" si="0"/>
        <v>44000000</v>
      </c>
    </row>
    <row r="22" spans="1:3" x14ac:dyDescent="0.3">
      <c r="A22" s="633">
        <f t="shared" si="1"/>
        <v>46190</v>
      </c>
      <c r="B22" s="634">
        <f t="shared" si="2"/>
        <v>44000000</v>
      </c>
      <c r="C22" s="635">
        <f t="shared" si="0"/>
        <v>44000000</v>
      </c>
    </row>
    <row r="23" spans="1:3" x14ac:dyDescent="0.3">
      <c r="A23" s="633">
        <f t="shared" si="1"/>
        <v>46191</v>
      </c>
      <c r="B23" s="634">
        <f t="shared" si="2"/>
        <v>44000000</v>
      </c>
      <c r="C23" s="635">
        <f t="shared" si="0"/>
        <v>44000000</v>
      </c>
    </row>
    <row r="24" spans="1:3" x14ac:dyDescent="0.3">
      <c r="A24" s="633">
        <f t="shared" si="1"/>
        <v>46192</v>
      </c>
      <c r="B24" s="634">
        <f t="shared" si="2"/>
        <v>44000000</v>
      </c>
      <c r="C24" s="635">
        <f t="shared" si="0"/>
        <v>44000000</v>
      </c>
    </row>
    <row r="25" spans="1:3" x14ac:dyDescent="0.3">
      <c r="A25" s="633">
        <f t="shared" si="1"/>
        <v>46193</v>
      </c>
      <c r="B25" s="634">
        <f t="shared" si="2"/>
        <v>44000000</v>
      </c>
      <c r="C25" s="635">
        <f t="shared" si="0"/>
        <v>44000000</v>
      </c>
    </row>
    <row r="26" spans="1:3" x14ac:dyDescent="0.3">
      <c r="A26" s="633">
        <f t="shared" si="1"/>
        <v>46194</v>
      </c>
      <c r="B26" s="634">
        <f t="shared" si="2"/>
        <v>44000000</v>
      </c>
      <c r="C26" s="635">
        <f t="shared" si="0"/>
        <v>44000000</v>
      </c>
    </row>
    <row r="27" spans="1:3" x14ac:dyDescent="0.3">
      <c r="A27" s="633">
        <f t="shared" si="1"/>
        <v>46195</v>
      </c>
      <c r="B27" s="634">
        <f t="shared" si="2"/>
        <v>44000000</v>
      </c>
      <c r="C27" s="635">
        <f t="shared" si="0"/>
        <v>44000000</v>
      </c>
    </row>
    <row r="28" spans="1:3" x14ac:dyDescent="0.3">
      <c r="A28" s="633">
        <f t="shared" si="1"/>
        <v>46196</v>
      </c>
      <c r="B28" s="634">
        <f t="shared" si="2"/>
        <v>44000000</v>
      </c>
      <c r="C28" s="635">
        <f t="shared" si="0"/>
        <v>44000000</v>
      </c>
    </row>
    <row r="29" spans="1:3" x14ac:dyDescent="0.3">
      <c r="A29" s="633">
        <f t="shared" si="1"/>
        <v>46197</v>
      </c>
      <c r="B29" s="634">
        <f t="shared" si="2"/>
        <v>44000000</v>
      </c>
      <c r="C29" s="635">
        <f t="shared" si="0"/>
        <v>44000000</v>
      </c>
    </row>
    <row r="30" spans="1:3" x14ac:dyDescent="0.3">
      <c r="A30" s="633">
        <f t="shared" si="1"/>
        <v>46198</v>
      </c>
      <c r="B30" s="634">
        <f t="shared" si="2"/>
        <v>44000000</v>
      </c>
      <c r="C30" s="635">
        <f t="shared" si="0"/>
        <v>44000000</v>
      </c>
    </row>
    <row r="31" spans="1:3" x14ac:dyDescent="0.3">
      <c r="A31" s="633">
        <f t="shared" si="1"/>
        <v>46199</v>
      </c>
      <c r="B31" s="634">
        <f t="shared" si="2"/>
        <v>44000000</v>
      </c>
      <c r="C31" s="635">
        <f t="shared" si="0"/>
        <v>44000000</v>
      </c>
    </row>
    <row r="32" spans="1:3" x14ac:dyDescent="0.3">
      <c r="A32" s="633">
        <f t="shared" si="1"/>
        <v>46200</v>
      </c>
      <c r="B32" s="634">
        <f t="shared" si="2"/>
        <v>44000000</v>
      </c>
      <c r="C32" s="635">
        <f t="shared" si="0"/>
        <v>44000000</v>
      </c>
    </row>
    <row r="33" spans="1:5" x14ac:dyDescent="0.3">
      <c r="A33" s="633">
        <f t="shared" si="1"/>
        <v>46201</v>
      </c>
      <c r="B33" s="634">
        <f t="shared" si="2"/>
        <v>44000000</v>
      </c>
      <c r="C33" s="635">
        <f t="shared" si="0"/>
        <v>44000000</v>
      </c>
    </row>
    <row r="34" spans="1:5" x14ac:dyDescent="0.3">
      <c r="A34" s="633">
        <f t="shared" si="1"/>
        <v>46202</v>
      </c>
      <c r="B34" s="634">
        <f t="shared" si="2"/>
        <v>44000000</v>
      </c>
      <c r="C34" s="635">
        <f t="shared" si="0"/>
        <v>44000000</v>
      </c>
    </row>
    <row r="35" spans="1:5" x14ac:dyDescent="0.3">
      <c r="A35" s="633">
        <f t="shared" si="1"/>
        <v>46203</v>
      </c>
      <c r="B35" s="634">
        <f t="shared" si="2"/>
        <v>44000000</v>
      </c>
      <c r="C35" s="635">
        <f t="shared" si="0"/>
        <v>44000000</v>
      </c>
    </row>
    <row r="36" spans="1:5" x14ac:dyDescent="0.3">
      <c r="A36" s="789"/>
      <c r="B36" s="789"/>
      <c r="C36" s="789"/>
    </row>
    <row r="37" spans="1:5" x14ac:dyDescent="0.3">
      <c r="A37" s="788" t="s">
        <v>45</v>
      </c>
      <c r="B37" s="788"/>
      <c r="C37" s="788"/>
    </row>
    <row r="38" spans="1:5" s="103" customFormat="1" ht="56.4" customHeight="1" x14ac:dyDescent="0.25">
      <c r="A38" s="631" t="s">
        <v>4</v>
      </c>
      <c r="B38" s="632" t="str">
        <f>B5</f>
        <v>C.D 04.05.2026    M.D 01.09.2026</v>
      </c>
      <c r="C38" s="632" t="s">
        <v>0</v>
      </c>
    </row>
    <row r="39" spans="1:5" s="117" customFormat="1" ht="28.8" x14ac:dyDescent="0.25">
      <c r="A39" s="649" t="s">
        <v>288</v>
      </c>
      <c r="B39" s="648">
        <f>11.96%+0.65%</f>
        <v>0.12610000000000002</v>
      </c>
      <c r="C39" s="648"/>
    </row>
    <row r="40" spans="1:5" x14ac:dyDescent="0.3">
      <c r="A40" s="633">
        <f t="shared" ref="A40:A69" si="3">A6</f>
        <v>46174</v>
      </c>
      <c r="B40" s="635">
        <f t="shared" ref="B40:B69" si="4">IF(B6&lt;0,0,B6*B$39/365)</f>
        <v>15201.095890410961</v>
      </c>
      <c r="C40" s="635">
        <f t="shared" ref="C40:C67" si="5">SUM(B40:B40)</f>
        <v>15201.095890410961</v>
      </c>
    </row>
    <row r="41" spans="1:5" x14ac:dyDescent="0.3">
      <c r="A41" s="633">
        <f t="shared" si="3"/>
        <v>46175</v>
      </c>
      <c r="B41" s="635">
        <f t="shared" si="4"/>
        <v>15201.095890410961</v>
      </c>
      <c r="C41" s="635">
        <f t="shared" si="5"/>
        <v>15201.095890410961</v>
      </c>
    </row>
    <row r="42" spans="1:5" x14ac:dyDescent="0.3">
      <c r="A42" s="633">
        <f t="shared" si="3"/>
        <v>46176</v>
      </c>
      <c r="B42" s="635">
        <f t="shared" si="4"/>
        <v>15201.095890410961</v>
      </c>
      <c r="C42" s="635">
        <f t="shared" si="5"/>
        <v>15201.095890410961</v>
      </c>
    </row>
    <row r="43" spans="1:5" x14ac:dyDescent="0.3">
      <c r="A43" s="633">
        <f t="shared" si="3"/>
        <v>46177</v>
      </c>
      <c r="B43" s="635">
        <f t="shared" si="4"/>
        <v>15201.095890410961</v>
      </c>
      <c r="C43" s="635">
        <f t="shared" si="5"/>
        <v>15201.095890410961</v>
      </c>
      <c r="E43" s="69"/>
    </row>
    <row r="44" spans="1:5" x14ac:dyDescent="0.3">
      <c r="A44" s="633">
        <f t="shared" si="3"/>
        <v>46178</v>
      </c>
      <c r="B44" s="635">
        <f t="shared" si="4"/>
        <v>15201.095890410961</v>
      </c>
      <c r="C44" s="635">
        <f t="shared" si="5"/>
        <v>15201.095890410961</v>
      </c>
    </row>
    <row r="45" spans="1:5" x14ac:dyDescent="0.3">
      <c r="A45" s="633">
        <f t="shared" si="3"/>
        <v>46179</v>
      </c>
      <c r="B45" s="635">
        <f t="shared" si="4"/>
        <v>15201.095890410961</v>
      </c>
      <c r="C45" s="635">
        <f t="shared" si="5"/>
        <v>15201.095890410961</v>
      </c>
    </row>
    <row r="46" spans="1:5" x14ac:dyDescent="0.3">
      <c r="A46" s="633">
        <f t="shared" si="3"/>
        <v>46180</v>
      </c>
      <c r="B46" s="635">
        <f t="shared" si="4"/>
        <v>15201.095890410961</v>
      </c>
      <c r="C46" s="635">
        <f t="shared" si="5"/>
        <v>15201.095890410961</v>
      </c>
    </row>
    <row r="47" spans="1:5" x14ac:dyDescent="0.3">
      <c r="A47" s="633">
        <f t="shared" si="3"/>
        <v>46181</v>
      </c>
      <c r="B47" s="635">
        <f t="shared" si="4"/>
        <v>15201.095890410961</v>
      </c>
      <c r="C47" s="635">
        <f t="shared" si="5"/>
        <v>15201.095890410961</v>
      </c>
    </row>
    <row r="48" spans="1:5" x14ac:dyDescent="0.3">
      <c r="A48" s="633">
        <f t="shared" si="3"/>
        <v>46182</v>
      </c>
      <c r="B48" s="635">
        <f t="shared" si="4"/>
        <v>15201.095890410961</v>
      </c>
      <c r="C48" s="635">
        <f t="shared" si="5"/>
        <v>15201.095890410961</v>
      </c>
    </row>
    <row r="49" spans="1:3" x14ac:dyDescent="0.3">
      <c r="A49" s="633">
        <f t="shared" si="3"/>
        <v>46183</v>
      </c>
      <c r="B49" s="635">
        <f t="shared" si="4"/>
        <v>15201.095890410961</v>
      </c>
      <c r="C49" s="635">
        <f t="shared" si="5"/>
        <v>15201.095890410961</v>
      </c>
    </row>
    <row r="50" spans="1:3" x14ac:dyDescent="0.3">
      <c r="A50" s="633">
        <f t="shared" si="3"/>
        <v>46184</v>
      </c>
      <c r="B50" s="635">
        <f t="shared" si="4"/>
        <v>15201.095890410961</v>
      </c>
      <c r="C50" s="635">
        <f t="shared" si="5"/>
        <v>15201.095890410961</v>
      </c>
    </row>
    <row r="51" spans="1:3" x14ac:dyDescent="0.3">
      <c r="A51" s="633">
        <f t="shared" si="3"/>
        <v>46185</v>
      </c>
      <c r="B51" s="635">
        <f t="shared" si="4"/>
        <v>15201.095890410961</v>
      </c>
      <c r="C51" s="635">
        <f t="shared" si="5"/>
        <v>15201.095890410961</v>
      </c>
    </row>
    <row r="52" spans="1:3" x14ac:dyDescent="0.3">
      <c r="A52" s="633">
        <f t="shared" si="3"/>
        <v>46186</v>
      </c>
      <c r="B52" s="635">
        <f t="shared" si="4"/>
        <v>15201.095890410961</v>
      </c>
      <c r="C52" s="635">
        <f t="shared" si="5"/>
        <v>15201.095890410961</v>
      </c>
    </row>
    <row r="53" spans="1:3" x14ac:dyDescent="0.3">
      <c r="A53" s="633">
        <f t="shared" si="3"/>
        <v>46187</v>
      </c>
      <c r="B53" s="635">
        <f t="shared" si="4"/>
        <v>15201.095890410961</v>
      </c>
      <c r="C53" s="635">
        <f t="shared" si="5"/>
        <v>15201.095890410961</v>
      </c>
    </row>
    <row r="54" spans="1:3" x14ac:dyDescent="0.3">
      <c r="A54" s="633">
        <f t="shared" si="3"/>
        <v>46188</v>
      </c>
      <c r="B54" s="635">
        <f t="shared" si="4"/>
        <v>15201.095890410961</v>
      </c>
      <c r="C54" s="635">
        <f t="shared" si="5"/>
        <v>15201.095890410961</v>
      </c>
    </row>
    <row r="55" spans="1:3" x14ac:dyDescent="0.3">
      <c r="A55" s="633">
        <f t="shared" si="3"/>
        <v>46189</v>
      </c>
      <c r="B55" s="635">
        <f t="shared" si="4"/>
        <v>15201.095890410961</v>
      </c>
      <c r="C55" s="635">
        <f t="shared" si="5"/>
        <v>15201.095890410961</v>
      </c>
    </row>
    <row r="56" spans="1:3" x14ac:dyDescent="0.3">
      <c r="A56" s="633">
        <f t="shared" si="3"/>
        <v>46190</v>
      </c>
      <c r="B56" s="635">
        <f t="shared" si="4"/>
        <v>15201.095890410961</v>
      </c>
      <c r="C56" s="635">
        <f t="shared" si="5"/>
        <v>15201.095890410961</v>
      </c>
    </row>
    <row r="57" spans="1:3" x14ac:dyDescent="0.3">
      <c r="A57" s="633">
        <f t="shared" si="3"/>
        <v>46191</v>
      </c>
      <c r="B57" s="635">
        <f t="shared" si="4"/>
        <v>15201.095890410961</v>
      </c>
      <c r="C57" s="635">
        <f t="shared" si="5"/>
        <v>15201.095890410961</v>
      </c>
    </row>
    <row r="58" spans="1:3" x14ac:dyDescent="0.3">
      <c r="A58" s="633">
        <f t="shared" si="3"/>
        <v>46192</v>
      </c>
      <c r="B58" s="635">
        <f t="shared" si="4"/>
        <v>15201.095890410961</v>
      </c>
      <c r="C58" s="635">
        <f t="shared" si="5"/>
        <v>15201.095890410961</v>
      </c>
    </row>
    <row r="59" spans="1:3" x14ac:dyDescent="0.3">
      <c r="A59" s="633">
        <f t="shared" si="3"/>
        <v>46193</v>
      </c>
      <c r="B59" s="635">
        <f t="shared" si="4"/>
        <v>15201.095890410961</v>
      </c>
      <c r="C59" s="635">
        <f t="shared" si="5"/>
        <v>15201.095890410961</v>
      </c>
    </row>
    <row r="60" spans="1:3" x14ac:dyDescent="0.3">
      <c r="A60" s="633">
        <f t="shared" si="3"/>
        <v>46194</v>
      </c>
      <c r="B60" s="635">
        <f t="shared" si="4"/>
        <v>15201.095890410961</v>
      </c>
      <c r="C60" s="635">
        <f t="shared" si="5"/>
        <v>15201.095890410961</v>
      </c>
    </row>
    <row r="61" spans="1:3" x14ac:dyDescent="0.3">
      <c r="A61" s="633">
        <f t="shared" si="3"/>
        <v>46195</v>
      </c>
      <c r="B61" s="635">
        <f t="shared" si="4"/>
        <v>15201.095890410961</v>
      </c>
      <c r="C61" s="635">
        <f t="shared" si="5"/>
        <v>15201.095890410961</v>
      </c>
    </row>
    <row r="62" spans="1:3" x14ac:dyDescent="0.3">
      <c r="A62" s="633">
        <f t="shared" si="3"/>
        <v>46196</v>
      </c>
      <c r="B62" s="635">
        <f t="shared" si="4"/>
        <v>15201.095890410961</v>
      </c>
      <c r="C62" s="635">
        <f t="shared" si="5"/>
        <v>15201.095890410961</v>
      </c>
    </row>
    <row r="63" spans="1:3" x14ac:dyDescent="0.3">
      <c r="A63" s="633">
        <f t="shared" si="3"/>
        <v>46197</v>
      </c>
      <c r="B63" s="635">
        <f t="shared" si="4"/>
        <v>15201.095890410961</v>
      </c>
      <c r="C63" s="635">
        <f t="shared" si="5"/>
        <v>15201.095890410961</v>
      </c>
    </row>
    <row r="64" spans="1:3" x14ac:dyDescent="0.3">
      <c r="A64" s="633">
        <f t="shared" si="3"/>
        <v>46198</v>
      </c>
      <c r="B64" s="635">
        <f t="shared" si="4"/>
        <v>15201.095890410961</v>
      </c>
      <c r="C64" s="635">
        <f t="shared" si="5"/>
        <v>15201.095890410961</v>
      </c>
    </row>
    <row r="65" spans="1:4" x14ac:dyDescent="0.3">
      <c r="A65" s="633">
        <f t="shared" si="3"/>
        <v>46199</v>
      </c>
      <c r="B65" s="635">
        <f t="shared" si="4"/>
        <v>15201.095890410961</v>
      </c>
      <c r="C65" s="635">
        <f t="shared" si="5"/>
        <v>15201.095890410961</v>
      </c>
    </row>
    <row r="66" spans="1:4" x14ac:dyDescent="0.3">
      <c r="A66" s="633">
        <f t="shared" si="3"/>
        <v>46200</v>
      </c>
      <c r="B66" s="635">
        <f t="shared" si="4"/>
        <v>15201.095890410961</v>
      </c>
      <c r="C66" s="635">
        <f t="shared" si="5"/>
        <v>15201.095890410961</v>
      </c>
    </row>
    <row r="67" spans="1:4" x14ac:dyDescent="0.3">
      <c r="A67" s="633">
        <f t="shared" si="3"/>
        <v>46201</v>
      </c>
      <c r="B67" s="635">
        <f t="shared" si="4"/>
        <v>15201.095890410961</v>
      </c>
      <c r="C67" s="635">
        <f t="shared" si="5"/>
        <v>15201.095890410961</v>
      </c>
    </row>
    <row r="68" spans="1:4" x14ac:dyDescent="0.3">
      <c r="A68" s="633">
        <f t="shared" si="3"/>
        <v>46202</v>
      </c>
      <c r="B68" s="635">
        <f t="shared" si="4"/>
        <v>15201.095890410961</v>
      </c>
      <c r="C68" s="635">
        <f>SUM(B68:B68)</f>
        <v>15201.095890410961</v>
      </c>
    </row>
    <row r="69" spans="1:4" x14ac:dyDescent="0.3">
      <c r="A69" s="633">
        <f t="shared" si="3"/>
        <v>46203</v>
      </c>
      <c r="B69" s="635">
        <f t="shared" si="4"/>
        <v>15201.095890410961</v>
      </c>
      <c r="C69" s="635">
        <f>SUM(B69:B69)</f>
        <v>15201.095890410961</v>
      </c>
    </row>
    <row r="70" spans="1:4" x14ac:dyDescent="0.3">
      <c r="A70" s="636" t="s">
        <v>18</v>
      </c>
      <c r="B70" s="637">
        <f>SUM(B40:B69)</f>
        <v>456032.8767123287</v>
      </c>
      <c r="C70" s="637">
        <f>SUM(C40:C69)</f>
        <v>456032.8767123287</v>
      </c>
    </row>
    <row r="71" spans="1:4" x14ac:dyDescent="0.3">
      <c r="A71" s="790"/>
      <c r="B71" s="790"/>
      <c r="C71" s="790"/>
    </row>
    <row r="72" spans="1:4" x14ac:dyDescent="0.3">
      <c r="A72" s="788" t="s">
        <v>52</v>
      </c>
      <c r="B72" s="788"/>
      <c r="C72" s="788"/>
    </row>
    <row r="73" spans="1:4" s="103" customFormat="1" ht="55.95" customHeight="1" x14ac:dyDescent="0.25">
      <c r="A73" s="631" t="s">
        <v>22</v>
      </c>
      <c r="B73" s="632" t="str">
        <f>B5</f>
        <v>C.D 04.05.2026    M.D 01.09.2026</v>
      </c>
      <c r="C73" s="632" t="s">
        <v>0</v>
      </c>
    </row>
    <row r="74" spans="1:4" x14ac:dyDescent="0.3">
      <c r="A74" s="638" t="s">
        <v>19</v>
      </c>
      <c r="B74" s="639">
        <f>'[2]NBP-Musawammah'!$B$87</f>
        <v>425630.68493150681</v>
      </c>
      <c r="C74" s="635">
        <f>SUM(B74:B74)</f>
        <v>425630.68493150681</v>
      </c>
      <c r="D74" s="59"/>
    </row>
    <row r="75" spans="1:4" x14ac:dyDescent="0.3">
      <c r="A75" s="638" t="s">
        <v>20</v>
      </c>
      <c r="B75" s="635">
        <f>B70</f>
        <v>456032.8767123287</v>
      </c>
      <c r="C75" s="635">
        <f>SUM(B75:B75)</f>
        <v>456032.8767123287</v>
      </c>
    </row>
    <row r="76" spans="1:4" x14ac:dyDescent="0.3">
      <c r="A76" s="638" t="s">
        <v>29</v>
      </c>
      <c r="B76" s="635"/>
      <c r="C76" s="635">
        <f>SUM(B76:B76)</f>
        <v>0</v>
      </c>
    </row>
    <row r="77" spans="1:4" x14ac:dyDescent="0.3">
      <c r="A77" s="638" t="s">
        <v>18</v>
      </c>
      <c r="B77" s="635">
        <f>SUM(B74:B76)</f>
        <v>881663.56164383551</v>
      </c>
      <c r="C77" s="635">
        <f>SUM(B77:B77)</f>
        <v>881663.56164383551</v>
      </c>
    </row>
    <row r="78" spans="1:4" x14ac:dyDescent="0.3">
      <c r="A78" s="789"/>
      <c r="B78" s="789"/>
      <c r="C78" s="789"/>
    </row>
    <row r="79" spans="1:4" x14ac:dyDescent="0.3">
      <c r="A79" s="640" t="s">
        <v>32</v>
      </c>
      <c r="B79" s="641">
        <v>0</v>
      </c>
      <c r="C79" s="641">
        <f>SUM(B79:B79)</f>
        <v>0</v>
      </c>
    </row>
    <row r="80" spans="1:4" x14ac:dyDescent="0.3">
      <c r="A80" s="787"/>
      <c r="B80" s="787"/>
      <c r="C80" s="787"/>
    </row>
    <row r="81" spans="1:5" x14ac:dyDescent="0.3">
      <c r="A81" s="640" t="s">
        <v>11</v>
      </c>
      <c r="B81" s="641">
        <v>0</v>
      </c>
      <c r="C81" s="641">
        <f>SUM(B81:B81)</f>
        <v>0</v>
      </c>
      <c r="E81" s="69"/>
    </row>
    <row r="82" spans="1:5" x14ac:dyDescent="0.3">
      <c r="A82" s="787"/>
      <c r="B82" s="787"/>
      <c r="C82" s="787"/>
    </row>
    <row r="83" spans="1:5" x14ac:dyDescent="0.3">
      <c r="A83" s="642" t="s">
        <v>21</v>
      </c>
      <c r="B83" s="643">
        <f>B70+B81+B76</f>
        <v>456032.8767123287</v>
      </c>
      <c r="C83" s="643">
        <f>SUM(B83:B83)</f>
        <v>456032.8767123287</v>
      </c>
    </row>
    <row r="84" spans="1:5" x14ac:dyDescent="0.3">
      <c r="A84" s="787"/>
      <c r="B84" s="787"/>
      <c r="C84" s="787"/>
    </row>
    <row r="85" spans="1:5" x14ac:dyDescent="0.3">
      <c r="A85" s="644" t="s">
        <v>33</v>
      </c>
      <c r="B85" s="645">
        <f>B77+B81-B79</f>
        <v>881663.56164383551</v>
      </c>
      <c r="C85" s="645">
        <f>C77+C81-C79</f>
        <v>881663.56164383551</v>
      </c>
    </row>
  </sheetData>
  <mergeCells count="9">
    <mergeCell ref="A80:C80"/>
    <mergeCell ref="A82:C82"/>
    <mergeCell ref="A84:C84"/>
    <mergeCell ref="A4:C4"/>
    <mergeCell ref="A36:C36"/>
    <mergeCell ref="A37:C37"/>
    <mergeCell ref="A71:C71"/>
    <mergeCell ref="A72:C72"/>
    <mergeCell ref="A78:C78"/>
  </mergeCells>
  <printOptions horizontalCentered="1" verticalCentered="1"/>
  <pageMargins left="0.25" right="0.25" top="0.5" bottom="0.5" header="0.5" footer="0.5"/>
  <pageSetup scale="40" orientation="landscape" r:id="rId1"/>
  <headerFooter alignWithMargins="0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9DEB9-9B53-4C70-BDCF-7FD0F6E5BA93}">
  <sheetPr codeName="Sheet12">
    <pageSetUpPr fitToPage="1"/>
  </sheetPr>
  <dimension ref="A1:G85"/>
  <sheetViews>
    <sheetView showGridLines="0" topLeftCell="A46" zoomScaleNormal="100" workbookViewId="0">
      <selection activeCell="A71" sqref="A71:C71"/>
    </sheetView>
  </sheetViews>
  <sheetFormatPr defaultColWidth="10.6328125" defaultRowHeight="13.8" x14ac:dyDescent="0.3"/>
  <cols>
    <col min="1" max="1" width="15.1796875" style="2" customWidth="1"/>
    <col min="2" max="2" width="13.7265625" style="232" customWidth="1"/>
    <col min="3" max="3" width="11.6328125" style="2" customWidth="1"/>
    <col min="4" max="4" width="11" style="2" bestFit="1" customWidth="1"/>
    <col min="5" max="5" width="8.6328125" style="2" bestFit="1" customWidth="1"/>
    <col min="6" max="6" width="9" style="2" bestFit="1" customWidth="1"/>
    <col min="7" max="7" width="8.81640625" style="2" customWidth="1"/>
    <col min="8" max="16384" width="10.6328125" style="2"/>
  </cols>
  <sheetData>
    <row r="1" spans="1:7" ht="18" x14ac:dyDescent="0.35">
      <c r="A1" s="748" t="s">
        <v>186</v>
      </c>
      <c r="B1" s="748"/>
      <c r="C1" s="748"/>
    </row>
    <row r="2" spans="1:7" ht="18.600000000000001" thickBot="1" x14ac:dyDescent="0.4">
      <c r="A2" s="91" t="s">
        <v>211</v>
      </c>
      <c r="B2" s="231"/>
      <c r="C2" s="55">
        <f>'FINANCIAL COST SUMMARY '!I2</f>
        <v>46174</v>
      </c>
    </row>
    <row r="3" spans="1:7" x14ac:dyDescent="0.3">
      <c r="A3" s="741"/>
      <c r="B3" s="741"/>
      <c r="C3" s="741"/>
    </row>
    <row r="4" spans="1:7" s="232" customFormat="1" x14ac:dyDescent="0.3">
      <c r="A4" s="761" t="s">
        <v>23</v>
      </c>
      <c r="B4" s="761"/>
      <c r="C4" s="761"/>
    </row>
    <row r="5" spans="1:7" s="234" customFormat="1" ht="41.4" x14ac:dyDescent="0.3">
      <c r="A5" s="94" t="s">
        <v>4</v>
      </c>
      <c r="B5" s="318" t="s">
        <v>252</v>
      </c>
      <c r="C5" s="233" t="s">
        <v>0</v>
      </c>
      <c r="E5" s="235"/>
      <c r="G5" s="235"/>
    </row>
    <row r="6" spans="1:7" x14ac:dyDescent="0.3">
      <c r="A6" s="236">
        <v>46174</v>
      </c>
      <c r="B6" s="68"/>
      <c r="C6" s="68">
        <f t="shared" ref="C6:C32" si="0">SUM(B6:B6)</f>
        <v>0</v>
      </c>
      <c r="E6" s="314">
        <v>45720</v>
      </c>
      <c r="F6" s="315">
        <v>120</v>
      </c>
      <c r="G6" s="314">
        <f>E6+F6</f>
        <v>45840</v>
      </c>
    </row>
    <row r="7" spans="1:7" x14ac:dyDescent="0.3">
      <c r="A7" s="236">
        <f>+A6+1</f>
        <v>46175</v>
      </c>
      <c r="B7" s="68"/>
      <c r="C7" s="68">
        <f t="shared" si="0"/>
        <v>0</v>
      </c>
    </row>
    <row r="8" spans="1:7" x14ac:dyDescent="0.3">
      <c r="A8" s="236">
        <f t="shared" ref="A8:A35" si="1">+A7+1</f>
        <v>46176</v>
      </c>
      <c r="B8" s="68"/>
      <c r="C8" s="68">
        <f t="shared" si="0"/>
        <v>0</v>
      </c>
    </row>
    <row r="9" spans="1:7" x14ac:dyDescent="0.3">
      <c r="A9" s="236">
        <f t="shared" si="1"/>
        <v>46177</v>
      </c>
      <c r="B9" s="68"/>
      <c r="C9" s="68">
        <f t="shared" si="0"/>
        <v>0</v>
      </c>
      <c r="E9" s="104"/>
      <c r="G9" s="104"/>
    </row>
    <row r="10" spans="1:7" x14ac:dyDescent="0.3">
      <c r="A10" s="236">
        <f t="shared" si="1"/>
        <v>46178</v>
      </c>
      <c r="B10" s="68"/>
      <c r="C10" s="68">
        <f t="shared" si="0"/>
        <v>0</v>
      </c>
    </row>
    <row r="11" spans="1:7" x14ac:dyDescent="0.3">
      <c r="A11" s="236">
        <f t="shared" si="1"/>
        <v>46179</v>
      </c>
      <c r="B11" s="68"/>
      <c r="C11" s="68">
        <f t="shared" si="0"/>
        <v>0</v>
      </c>
    </row>
    <row r="12" spans="1:7" x14ac:dyDescent="0.3">
      <c r="A12" s="236">
        <f t="shared" si="1"/>
        <v>46180</v>
      </c>
      <c r="B12" s="68"/>
      <c r="C12" s="68">
        <f t="shared" si="0"/>
        <v>0</v>
      </c>
    </row>
    <row r="13" spans="1:7" x14ac:dyDescent="0.3">
      <c r="A13" s="236">
        <f t="shared" si="1"/>
        <v>46181</v>
      </c>
      <c r="B13" s="68"/>
      <c r="C13" s="68">
        <f t="shared" si="0"/>
        <v>0</v>
      </c>
      <c r="D13" s="312"/>
    </row>
    <row r="14" spans="1:7" x14ac:dyDescent="0.3">
      <c r="A14" s="236">
        <f t="shared" si="1"/>
        <v>46182</v>
      </c>
      <c r="B14" s="68"/>
      <c r="C14" s="68">
        <f t="shared" si="0"/>
        <v>0</v>
      </c>
    </row>
    <row r="15" spans="1:7" x14ac:dyDescent="0.3">
      <c r="A15" s="236">
        <f t="shared" si="1"/>
        <v>46183</v>
      </c>
      <c r="B15" s="68"/>
      <c r="C15" s="68">
        <f t="shared" si="0"/>
        <v>0</v>
      </c>
    </row>
    <row r="16" spans="1:7" x14ac:dyDescent="0.3">
      <c r="A16" s="236">
        <f t="shared" si="1"/>
        <v>46184</v>
      </c>
      <c r="B16" s="68"/>
      <c r="C16" s="68">
        <f t="shared" si="0"/>
        <v>0</v>
      </c>
    </row>
    <row r="17" spans="1:7" x14ac:dyDescent="0.3">
      <c r="A17" s="236">
        <f t="shared" si="1"/>
        <v>46185</v>
      </c>
      <c r="B17" s="68"/>
      <c r="C17" s="68">
        <f t="shared" si="0"/>
        <v>0</v>
      </c>
    </row>
    <row r="18" spans="1:7" x14ac:dyDescent="0.3">
      <c r="A18" s="236">
        <f t="shared" si="1"/>
        <v>46186</v>
      </c>
      <c r="B18" s="68"/>
      <c r="C18" s="68">
        <f t="shared" si="0"/>
        <v>0</v>
      </c>
    </row>
    <row r="19" spans="1:7" x14ac:dyDescent="0.3">
      <c r="A19" s="236">
        <f t="shared" si="1"/>
        <v>46187</v>
      </c>
      <c r="B19" s="68"/>
      <c r="C19" s="68">
        <f t="shared" si="0"/>
        <v>0</v>
      </c>
    </row>
    <row r="20" spans="1:7" x14ac:dyDescent="0.3">
      <c r="A20" s="236">
        <f t="shared" si="1"/>
        <v>46188</v>
      </c>
      <c r="B20" s="68"/>
      <c r="C20" s="68">
        <f t="shared" si="0"/>
        <v>0</v>
      </c>
    </row>
    <row r="21" spans="1:7" x14ac:dyDescent="0.3">
      <c r="A21" s="236">
        <f t="shared" si="1"/>
        <v>46189</v>
      </c>
      <c r="B21" s="68"/>
      <c r="C21" s="68">
        <f t="shared" si="0"/>
        <v>0</v>
      </c>
    </row>
    <row r="22" spans="1:7" x14ac:dyDescent="0.3">
      <c r="A22" s="236">
        <f t="shared" si="1"/>
        <v>46190</v>
      </c>
      <c r="B22" s="68"/>
      <c r="C22" s="68">
        <f t="shared" si="0"/>
        <v>0</v>
      </c>
    </row>
    <row r="23" spans="1:7" x14ac:dyDescent="0.3">
      <c r="A23" s="236">
        <f t="shared" si="1"/>
        <v>46191</v>
      </c>
      <c r="B23" s="68"/>
      <c r="C23" s="68">
        <f t="shared" si="0"/>
        <v>0</v>
      </c>
    </row>
    <row r="24" spans="1:7" x14ac:dyDescent="0.3">
      <c r="A24" s="236">
        <f t="shared" si="1"/>
        <v>46192</v>
      </c>
      <c r="B24" s="68"/>
      <c r="C24" s="68">
        <f t="shared" si="0"/>
        <v>0</v>
      </c>
    </row>
    <row r="25" spans="1:7" x14ac:dyDescent="0.3">
      <c r="A25" s="236">
        <f t="shared" si="1"/>
        <v>46193</v>
      </c>
      <c r="B25" s="68"/>
      <c r="C25" s="68">
        <f t="shared" si="0"/>
        <v>0</v>
      </c>
    </row>
    <row r="26" spans="1:7" x14ac:dyDescent="0.3">
      <c r="A26" s="236">
        <f t="shared" si="1"/>
        <v>46194</v>
      </c>
      <c r="B26" s="68"/>
      <c r="C26" s="68">
        <f t="shared" si="0"/>
        <v>0</v>
      </c>
    </row>
    <row r="27" spans="1:7" x14ac:dyDescent="0.3">
      <c r="A27" s="236">
        <f t="shared" si="1"/>
        <v>46195</v>
      </c>
      <c r="B27" s="68"/>
      <c r="C27" s="68">
        <f t="shared" si="0"/>
        <v>0</v>
      </c>
    </row>
    <row r="28" spans="1:7" x14ac:dyDescent="0.3">
      <c r="A28" s="236">
        <f t="shared" si="1"/>
        <v>46196</v>
      </c>
      <c r="B28" s="68"/>
      <c r="C28" s="68">
        <f t="shared" si="0"/>
        <v>0</v>
      </c>
    </row>
    <row r="29" spans="1:7" x14ac:dyDescent="0.3">
      <c r="A29" s="236">
        <f t="shared" si="1"/>
        <v>46197</v>
      </c>
      <c r="B29" s="68"/>
      <c r="C29" s="68">
        <f t="shared" si="0"/>
        <v>0</v>
      </c>
      <c r="D29" s="232"/>
    </row>
    <row r="30" spans="1:7" x14ac:dyDescent="0.3">
      <c r="A30" s="236">
        <f t="shared" si="1"/>
        <v>46198</v>
      </c>
      <c r="B30" s="68"/>
      <c r="C30" s="68">
        <f t="shared" si="0"/>
        <v>0</v>
      </c>
    </row>
    <row r="31" spans="1:7" x14ac:dyDescent="0.3">
      <c r="A31" s="236">
        <f t="shared" si="1"/>
        <v>46199</v>
      </c>
      <c r="B31" s="68"/>
      <c r="C31" s="68">
        <f t="shared" si="0"/>
        <v>0</v>
      </c>
    </row>
    <row r="32" spans="1:7" x14ac:dyDescent="0.3">
      <c r="A32" s="236">
        <f t="shared" si="1"/>
        <v>46200</v>
      </c>
      <c r="B32" s="68"/>
      <c r="C32" s="68">
        <f t="shared" si="0"/>
        <v>0</v>
      </c>
      <c r="E32" s="104"/>
      <c r="G32" s="104"/>
    </row>
    <row r="33" spans="1:7" x14ac:dyDescent="0.3">
      <c r="A33" s="236">
        <f t="shared" si="1"/>
        <v>46201</v>
      </c>
      <c r="B33" s="68"/>
      <c r="C33" s="68">
        <f>SUM(B33:B33)</f>
        <v>0</v>
      </c>
      <c r="E33" s="104"/>
      <c r="G33" s="104"/>
    </row>
    <row r="34" spans="1:7" x14ac:dyDescent="0.3">
      <c r="A34" s="236">
        <f t="shared" si="1"/>
        <v>46202</v>
      </c>
      <c r="B34" s="68"/>
      <c r="C34" s="68">
        <f>SUM(B34:B34)</f>
        <v>0</v>
      </c>
      <c r="E34" s="104"/>
      <c r="G34" s="104"/>
    </row>
    <row r="35" spans="1:7" x14ac:dyDescent="0.3">
      <c r="A35" s="236">
        <f t="shared" si="1"/>
        <v>46203</v>
      </c>
      <c r="B35" s="68"/>
      <c r="C35" s="68">
        <f>SUM(B35:B35)</f>
        <v>0</v>
      </c>
      <c r="E35" s="104"/>
      <c r="G35" s="104"/>
    </row>
    <row r="36" spans="1:7" x14ac:dyDescent="0.3">
      <c r="A36" s="395"/>
      <c r="B36" s="396"/>
      <c r="C36" s="397"/>
    </row>
    <row r="37" spans="1:7" x14ac:dyDescent="0.3">
      <c r="A37" s="742" t="s">
        <v>45</v>
      </c>
      <c r="B37" s="742"/>
      <c r="C37" s="742"/>
    </row>
    <row r="38" spans="1:7" s="234" customFormat="1" ht="41.4" x14ac:dyDescent="0.3">
      <c r="A38" s="94" t="s">
        <v>4</v>
      </c>
      <c r="B38" s="237" t="str">
        <f>B5</f>
        <v>FILFTR00141425PK
C.D 04.03.2025 M.D. 02.07.2025</v>
      </c>
      <c r="C38" s="233" t="s">
        <v>0</v>
      </c>
    </row>
    <row r="39" spans="1:7" s="117" customFormat="1" ht="27.6" x14ac:dyDescent="0.25">
      <c r="A39" s="313" t="s">
        <v>215</v>
      </c>
      <c r="B39" s="323">
        <f>11.82%+0.5%</f>
        <v>0.1232</v>
      </c>
      <c r="C39" s="238"/>
    </row>
    <row r="40" spans="1:7" x14ac:dyDescent="0.3">
      <c r="A40" s="236">
        <f t="shared" ref="A40:A69" si="2">+A6</f>
        <v>46174</v>
      </c>
      <c r="B40" s="68">
        <f t="shared" ref="B40:B69" si="3">IF(B6&lt;0,0,B6*B$39/365)</f>
        <v>0</v>
      </c>
      <c r="C40" s="68">
        <f t="shared" ref="C40:C66" si="4">SUM(B40:B40)</f>
        <v>0</v>
      </c>
    </row>
    <row r="41" spans="1:7" x14ac:dyDescent="0.3">
      <c r="A41" s="236">
        <f t="shared" si="2"/>
        <v>46175</v>
      </c>
      <c r="B41" s="68">
        <f t="shared" si="3"/>
        <v>0</v>
      </c>
      <c r="C41" s="68">
        <f t="shared" si="4"/>
        <v>0</v>
      </c>
    </row>
    <row r="42" spans="1:7" x14ac:dyDescent="0.3">
      <c r="A42" s="236">
        <f t="shared" si="2"/>
        <v>46176</v>
      </c>
      <c r="B42" s="68">
        <f t="shared" si="3"/>
        <v>0</v>
      </c>
      <c r="C42" s="68">
        <f t="shared" si="4"/>
        <v>0</v>
      </c>
    </row>
    <row r="43" spans="1:7" x14ac:dyDescent="0.3">
      <c r="A43" s="236">
        <f t="shared" si="2"/>
        <v>46177</v>
      </c>
      <c r="B43" s="68">
        <f t="shared" si="3"/>
        <v>0</v>
      </c>
      <c r="C43" s="68">
        <f t="shared" si="4"/>
        <v>0</v>
      </c>
    </row>
    <row r="44" spans="1:7" x14ac:dyDescent="0.3">
      <c r="A44" s="236">
        <f t="shared" si="2"/>
        <v>46178</v>
      </c>
      <c r="B44" s="68">
        <f t="shared" si="3"/>
        <v>0</v>
      </c>
      <c r="C44" s="68">
        <f t="shared" si="4"/>
        <v>0</v>
      </c>
    </row>
    <row r="45" spans="1:7" x14ac:dyDescent="0.3">
      <c r="A45" s="236">
        <f t="shared" si="2"/>
        <v>46179</v>
      </c>
      <c r="B45" s="68">
        <f t="shared" si="3"/>
        <v>0</v>
      </c>
      <c r="C45" s="68">
        <f t="shared" si="4"/>
        <v>0</v>
      </c>
    </row>
    <row r="46" spans="1:7" x14ac:dyDescent="0.3">
      <c r="A46" s="236">
        <f t="shared" si="2"/>
        <v>46180</v>
      </c>
      <c r="B46" s="68">
        <f t="shared" si="3"/>
        <v>0</v>
      </c>
      <c r="C46" s="68">
        <f t="shared" si="4"/>
        <v>0</v>
      </c>
    </row>
    <row r="47" spans="1:7" x14ac:dyDescent="0.3">
      <c r="A47" s="236">
        <f t="shared" si="2"/>
        <v>46181</v>
      </c>
      <c r="B47" s="68">
        <f t="shared" si="3"/>
        <v>0</v>
      </c>
      <c r="C47" s="68">
        <f t="shared" si="4"/>
        <v>0</v>
      </c>
    </row>
    <row r="48" spans="1:7" x14ac:dyDescent="0.3">
      <c r="A48" s="236">
        <f t="shared" si="2"/>
        <v>46182</v>
      </c>
      <c r="B48" s="68">
        <f t="shared" si="3"/>
        <v>0</v>
      </c>
      <c r="C48" s="68">
        <f t="shared" si="4"/>
        <v>0</v>
      </c>
    </row>
    <row r="49" spans="1:3" x14ac:dyDescent="0.3">
      <c r="A49" s="236">
        <f t="shared" si="2"/>
        <v>46183</v>
      </c>
      <c r="B49" s="68">
        <f t="shared" si="3"/>
        <v>0</v>
      </c>
      <c r="C49" s="68">
        <f t="shared" si="4"/>
        <v>0</v>
      </c>
    </row>
    <row r="50" spans="1:3" x14ac:dyDescent="0.3">
      <c r="A50" s="236">
        <f t="shared" si="2"/>
        <v>46184</v>
      </c>
      <c r="B50" s="68">
        <f t="shared" si="3"/>
        <v>0</v>
      </c>
      <c r="C50" s="68">
        <f t="shared" si="4"/>
        <v>0</v>
      </c>
    </row>
    <row r="51" spans="1:3" x14ac:dyDescent="0.3">
      <c r="A51" s="236">
        <f t="shared" si="2"/>
        <v>46185</v>
      </c>
      <c r="B51" s="68">
        <f t="shared" si="3"/>
        <v>0</v>
      </c>
      <c r="C51" s="68">
        <f t="shared" si="4"/>
        <v>0</v>
      </c>
    </row>
    <row r="52" spans="1:3" x14ac:dyDescent="0.3">
      <c r="A52" s="236">
        <f t="shared" si="2"/>
        <v>46186</v>
      </c>
      <c r="B52" s="68">
        <f t="shared" si="3"/>
        <v>0</v>
      </c>
      <c r="C52" s="68">
        <f t="shared" si="4"/>
        <v>0</v>
      </c>
    </row>
    <row r="53" spans="1:3" x14ac:dyDescent="0.3">
      <c r="A53" s="236">
        <f t="shared" si="2"/>
        <v>46187</v>
      </c>
      <c r="B53" s="68">
        <f t="shared" si="3"/>
        <v>0</v>
      </c>
      <c r="C53" s="68">
        <f t="shared" si="4"/>
        <v>0</v>
      </c>
    </row>
    <row r="54" spans="1:3" x14ac:dyDescent="0.3">
      <c r="A54" s="236">
        <f t="shared" si="2"/>
        <v>46188</v>
      </c>
      <c r="B54" s="68">
        <f t="shared" si="3"/>
        <v>0</v>
      </c>
      <c r="C54" s="68">
        <f t="shared" si="4"/>
        <v>0</v>
      </c>
    </row>
    <row r="55" spans="1:3" x14ac:dyDescent="0.3">
      <c r="A55" s="236">
        <f t="shared" si="2"/>
        <v>46189</v>
      </c>
      <c r="B55" s="68">
        <f t="shared" si="3"/>
        <v>0</v>
      </c>
      <c r="C55" s="68">
        <f t="shared" si="4"/>
        <v>0</v>
      </c>
    </row>
    <row r="56" spans="1:3" x14ac:dyDescent="0.3">
      <c r="A56" s="236">
        <f t="shared" si="2"/>
        <v>46190</v>
      </c>
      <c r="B56" s="68">
        <f t="shared" si="3"/>
        <v>0</v>
      </c>
      <c r="C56" s="68">
        <f t="shared" si="4"/>
        <v>0</v>
      </c>
    </row>
    <row r="57" spans="1:3" x14ac:dyDescent="0.3">
      <c r="A57" s="236">
        <f t="shared" si="2"/>
        <v>46191</v>
      </c>
      <c r="B57" s="68">
        <f t="shared" si="3"/>
        <v>0</v>
      </c>
      <c r="C57" s="68">
        <f t="shared" si="4"/>
        <v>0</v>
      </c>
    </row>
    <row r="58" spans="1:3" x14ac:dyDescent="0.3">
      <c r="A58" s="236">
        <f t="shared" si="2"/>
        <v>46192</v>
      </c>
      <c r="B58" s="68">
        <f t="shared" si="3"/>
        <v>0</v>
      </c>
      <c r="C58" s="68">
        <f t="shared" si="4"/>
        <v>0</v>
      </c>
    </row>
    <row r="59" spans="1:3" x14ac:dyDescent="0.3">
      <c r="A59" s="236">
        <f t="shared" si="2"/>
        <v>46193</v>
      </c>
      <c r="B59" s="68">
        <f t="shared" si="3"/>
        <v>0</v>
      </c>
      <c r="C59" s="68">
        <f t="shared" si="4"/>
        <v>0</v>
      </c>
    </row>
    <row r="60" spans="1:3" x14ac:dyDescent="0.3">
      <c r="A60" s="236">
        <f t="shared" si="2"/>
        <v>46194</v>
      </c>
      <c r="B60" s="68">
        <f t="shared" si="3"/>
        <v>0</v>
      </c>
      <c r="C60" s="68">
        <f t="shared" si="4"/>
        <v>0</v>
      </c>
    </row>
    <row r="61" spans="1:3" x14ac:dyDescent="0.3">
      <c r="A61" s="236">
        <f t="shared" si="2"/>
        <v>46195</v>
      </c>
      <c r="B61" s="68">
        <f t="shared" si="3"/>
        <v>0</v>
      </c>
      <c r="C61" s="68">
        <f t="shared" si="4"/>
        <v>0</v>
      </c>
    </row>
    <row r="62" spans="1:3" x14ac:dyDescent="0.3">
      <c r="A62" s="236">
        <f t="shared" si="2"/>
        <v>46196</v>
      </c>
      <c r="B62" s="68">
        <f t="shared" si="3"/>
        <v>0</v>
      </c>
      <c r="C62" s="68">
        <f t="shared" si="4"/>
        <v>0</v>
      </c>
    </row>
    <row r="63" spans="1:3" ht="14.4" customHeight="1" x14ac:dyDescent="0.3">
      <c r="A63" s="236">
        <f t="shared" si="2"/>
        <v>46197</v>
      </c>
      <c r="B63" s="68">
        <f t="shared" si="3"/>
        <v>0</v>
      </c>
      <c r="C63" s="68">
        <f t="shared" si="4"/>
        <v>0</v>
      </c>
    </row>
    <row r="64" spans="1:3" x14ac:dyDescent="0.3">
      <c r="A64" s="236">
        <f t="shared" si="2"/>
        <v>46198</v>
      </c>
      <c r="B64" s="68">
        <f t="shared" si="3"/>
        <v>0</v>
      </c>
      <c r="C64" s="68">
        <f t="shared" si="4"/>
        <v>0</v>
      </c>
    </row>
    <row r="65" spans="1:6" x14ac:dyDescent="0.3">
      <c r="A65" s="236">
        <f t="shared" si="2"/>
        <v>46199</v>
      </c>
      <c r="B65" s="68">
        <f t="shared" si="3"/>
        <v>0</v>
      </c>
      <c r="C65" s="68">
        <f t="shared" si="4"/>
        <v>0</v>
      </c>
    </row>
    <row r="66" spans="1:6" x14ac:dyDescent="0.3">
      <c r="A66" s="236">
        <f t="shared" si="2"/>
        <v>46200</v>
      </c>
      <c r="B66" s="68">
        <f t="shared" si="3"/>
        <v>0</v>
      </c>
      <c r="C66" s="68">
        <f t="shared" si="4"/>
        <v>0</v>
      </c>
    </row>
    <row r="67" spans="1:6" x14ac:dyDescent="0.3">
      <c r="A67" s="236">
        <f t="shared" si="2"/>
        <v>46201</v>
      </c>
      <c r="B67" s="68">
        <f t="shared" si="3"/>
        <v>0</v>
      </c>
      <c r="C67" s="68">
        <f>SUM(B67:B67)</f>
        <v>0</v>
      </c>
    </row>
    <row r="68" spans="1:6" x14ac:dyDescent="0.3">
      <c r="A68" s="236">
        <f t="shared" si="2"/>
        <v>46202</v>
      </c>
      <c r="B68" s="68">
        <f t="shared" si="3"/>
        <v>0</v>
      </c>
      <c r="C68" s="68">
        <f>SUM(B68:B68)</f>
        <v>0</v>
      </c>
    </row>
    <row r="69" spans="1:6" x14ac:dyDescent="0.3">
      <c r="A69" s="236">
        <f t="shared" si="2"/>
        <v>46203</v>
      </c>
      <c r="B69" s="68">
        <f t="shared" si="3"/>
        <v>0</v>
      </c>
      <c r="C69" s="68">
        <f>SUM(B69:B69)</f>
        <v>0</v>
      </c>
    </row>
    <row r="70" spans="1:6" x14ac:dyDescent="0.3">
      <c r="A70" s="8" t="s">
        <v>18</v>
      </c>
      <c r="B70" s="239">
        <f>SUM(B40:B69)</f>
        <v>0</v>
      </c>
      <c r="C70" s="239">
        <f>SUM(C40:C69)</f>
        <v>0</v>
      </c>
      <c r="D70" s="312"/>
    </row>
    <row r="71" spans="1:6" x14ac:dyDescent="0.3">
      <c r="A71" s="739"/>
      <c r="B71" s="739"/>
      <c r="C71" s="739"/>
    </row>
    <row r="72" spans="1:6" x14ac:dyDescent="0.3">
      <c r="A72" s="742" t="s">
        <v>52</v>
      </c>
      <c r="B72" s="742"/>
      <c r="C72" s="742"/>
    </row>
    <row r="73" spans="1:6" s="234" customFormat="1" ht="45" customHeight="1" x14ac:dyDescent="0.3">
      <c r="A73" s="94" t="s">
        <v>22</v>
      </c>
      <c r="B73" s="237" t="str">
        <f>B5</f>
        <v>FILFTR00141425PK
C.D 04.03.2025 M.D. 02.07.2025</v>
      </c>
      <c r="C73" s="233" t="s">
        <v>0</v>
      </c>
    </row>
    <row r="74" spans="1:6" x14ac:dyDescent="0.3">
      <c r="A74" s="240" t="s">
        <v>19</v>
      </c>
      <c r="B74" s="245">
        <v>0</v>
      </c>
      <c r="C74" s="215">
        <f>SUM(B74:B74)</f>
        <v>0</v>
      </c>
      <c r="D74" s="193"/>
    </row>
    <row r="75" spans="1:6" x14ac:dyDescent="0.3">
      <c r="A75" s="240" t="s">
        <v>20</v>
      </c>
      <c r="B75" s="68">
        <f>B70</f>
        <v>0</v>
      </c>
      <c r="C75" s="98">
        <f>SUM(B75:B75)</f>
        <v>0</v>
      </c>
      <c r="E75" s="69"/>
      <c r="F75" s="312"/>
    </row>
    <row r="76" spans="1:6" x14ac:dyDescent="0.3">
      <c r="A76" s="240" t="s">
        <v>29</v>
      </c>
      <c r="B76" s="98">
        <v>0</v>
      </c>
      <c r="C76" s="98">
        <f>SUM(B76:B76)</f>
        <v>0</v>
      </c>
    </row>
    <row r="77" spans="1:6" x14ac:dyDescent="0.3">
      <c r="A77" s="240" t="s">
        <v>18</v>
      </c>
      <c r="B77" s="68">
        <f>SUM(B74:B76)</f>
        <v>0</v>
      </c>
      <c r="C77" s="215">
        <f>SUM(B77:B77)</f>
        <v>0</v>
      </c>
    </row>
    <row r="78" spans="1:6" x14ac:dyDescent="0.3">
      <c r="A78" s="738"/>
      <c r="B78" s="738"/>
      <c r="C78" s="738"/>
    </row>
    <row r="79" spans="1:6" x14ac:dyDescent="0.3">
      <c r="A79" s="241" t="s">
        <v>32</v>
      </c>
      <c r="B79" s="119">
        <v>0</v>
      </c>
      <c r="C79" s="73">
        <f>SUM(B79:B79)</f>
        <v>0</v>
      </c>
      <c r="D79" s="242"/>
      <c r="E79" s="312"/>
    </row>
    <row r="80" spans="1:6" x14ac:dyDescent="0.3">
      <c r="A80" s="739"/>
      <c r="B80" s="739"/>
      <c r="C80" s="739"/>
    </row>
    <row r="81" spans="1:3" x14ac:dyDescent="0.3">
      <c r="A81" s="241" t="s">
        <v>11</v>
      </c>
      <c r="B81" s="119"/>
      <c r="C81" s="73">
        <f>SUM(B81)</f>
        <v>0</v>
      </c>
    </row>
    <row r="82" spans="1:3" x14ac:dyDescent="0.3">
      <c r="A82" s="739"/>
      <c r="B82" s="739"/>
      <c r="C82" s="739"/>
    </row>
    <row r="83" spans="1:3" x14ac:dyDescent="0.3">
      <c r="A83" s="243" t="s">
        <v>21</v>
      </c>
      <c r="B83" s="74">
        <f>B70+B81+B76</f>
        <v>0</v>
      </c>
      <c r="C83" s="74">
        <f>SUM(B83:B83)</f>
        <v>0</v>
      </c>
    </row>
    <row r="84" spans="1:3" x14ac:dyDescent="0.3">
      <c r="A84" s="739"/>
      <c r="B84" s="739"/>
      <c r="C84" s="739"/>
    </row>
    <row r="85" spans="1:3" x14ac:dyDescent="0.3">
      <c r="A85" s="244" t="s">
        <v>33</v>
      </c>
      <c r="B85" s="245">
        <f>B77+B81-B79</f>
        <v>0</v>
      </c>
      <c r="C85" s="245">
        <f>SUM(B85:B85)</f>
        <v>0</v>
      </c>
    </row>
  </sheetData>
  <mergeCells count="10">
    <mergeCell ref="A78:C78"/>
    <mergeCell ref="A80:C80"/>
    <mergeCell ref="A82:C82"/>
    <mergeCell ref="A84:C84"/>
    <mergeCell ref="A1:C1"/>
    <mergeCell ref="A3:C3"/>
    <mergeCell ref="A4:C4"/>
    <mergeCell ref="A37:C37"/>
    <mergeCell ref="A71:C71"/>
    <mergeCell ref="A72:C72"/>
  </mergeCells>
  <printOptions horizontalCentered="1" verticalCentered="1"/>
  <pageMargins left="0.25" right="0.25" top="0.5" bottom="0.5" header="0.5" footer="0.5"/>
  <pageSetup scale="42" orientation="landscape" r:id="rId1"/>
  <headerFooter alignWithMargins="0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F9B57-D5AF-49D5-9B85-49B789131B35}">
  <sheetPr codeName="Sheet13">
    <tabColor rgb="FF92D050"/>
    <pageSetUpPr fitToPage="1"/>
  </sheetPr>
  <dimension ref="A1:L48"/>
  <sheetViews>
    <sheetView showGridLines="0" zoomScaleNormal="100" workbookViewId="0">
      <selection activeCell="B18" sqref="B18"/>
    </sheetView>
  </sheetViews>
  <sheetFormatPr defaultColWidth="10.6328125" defaultRowHeight="13.8" x14ac:dyDescent="0.3"/>
  <cols>
    <col min="1" max="1" width="9.6328125" style="2" customWidth="1"/>
    <col min="2" max="2" width="12.453125" style="133" customWidth="1"/>
    <col min="3" max="3" width="8.36328125" style="133" customWidth="1"/>
    <col min="4" max="4" width="8.7265625" style="133" customWidth="1"/>
    <col min="5" max="5" width="12" style="133" customWidth="1"/>
    <col min="6" max="6" width="2.36328125" style="2" customWidth="1"/>
    <col min="7" max="7" width="6.08984375" style="2" customWidth="1"/>
    <col min="8" max="8" width="7.7265625" style="2" customWidth="1"/>
    <col min="9" max="9" width="14.453125" style="2" customWidth="1"/>
    <col min="10" max="10" width="14" style="2" bestFit="1" customWidth="1"/>
    <col min="11" max="11" width="11.81640625" style="2" bestFit="1" customWidth="1"/>
    <col min="12" max="12" width="11.453125" style="2" bestFit="1" customWidth="1"/>
    <col min="13" max="16384" width="10.6328125" style="2"/>
  </cols>
  <sheetData>
    <row r="1" spans="1:12" ht="18" x14ac:dyDescent="0.35">
      <c r="A1" s="748" t="s">
        <v>195</v>
      </c>
      <c r="B1" s="748"/>
      <c r="C1" s="748"/>
      <c r="D1" s="748"/>
      <c r="E1" s="748"/>
      <c r="F1" s="748"/>
      <c r="G1" s="748"/>
      <c r="H1" s="748"/>
      <c r="I1" s="748"/>
      <c r="J1" s="748"/>
    </row>
    <row r="2" spans="1:12" ht="18.600000000000001" thickBot="1" x14ac:dyDescent="0.4">
      <c r="A2" s="749" t="s">
        <v>212</v>
      </c>
      <c r="B2" s="749"/>
      <c r="C2" s="749"/>
      <c r="D2" s="749"/>
      <c r="E2" s="749"/>
      <c r="F2" s="749"/>
      <c r="G2" s="749"/>
      <c r="H2" s="749"/>
      <c r="I2" s="749"/>
      <c r="J2" s="55">
        <f>'FINANCIAL COST SUMMARY '!I2</f>
        <v>46174</v>
      </c>
    </row>
    <row r="3" spans="1:12" x14ac:dyDescent="0.3">
      <c r="A3" s="750"/>
      <c r="B3" s="750"/>
      <c r="C3" s="750"/>
      <c r="D3" s="750"/>
      <c r="E3" s="750"/>
      <c r="F3" s="750"/>
      <c r="G3" s="750"/>
      <c r="H3" s="750"/>
      <c r="I3" s="750"/>
      <c r="J3" s="750"/>
      <c r="K3" s="516">
        <v>48583340.869999997</v>
      </c>
    </row>
    <row r="4" spans="1:12" ht="15.6" customHeight="1" x14ac:dyDescent="0.3">
      <c r="A4" s="751" t="s">
        <v>4</v>
      </c>
      <c r="B4" s="246" t="s">
        <v>160</v>
      </c>
      <c r="C4" s="247" t="s">
        <v>11</v>
      </c>
      <c r="D4" s="248"/>
      <c r="E4" s="246" t="s">
        <v>161</v>
      </c>
      <c r="G4" s="249" t="s">
        <v>162</v>
      </c>
      <c r="H4" s="753" t="s">
        <v>202</v>
      </c>
      <c r="I4" s="250" t="s">
        <v>163</v>
      </c>
      <c r="J4" s="251" t="s">
        <v>164</v>
      </c>
    </row>
    <row r="5" spans="1:12" x14ac:dyDescent="0.3">
      <c r="A5" s="752"/>
      <c r="B5" s="252" t="s">
        <v>1</v>
      </c>
      <c r="C5" s="252" t="s">
        <v>12</v>
      </c>
      <c r="D5" s="252" t="s">
        <v>13</v>
      </c>
      <c r="E5" s="252" t="s">
        <v>165</v>
      </c>
      <c r="G5" s="253" t="s">
        <v>166</v>
      </c>
      <c r="H5" s="754"/>
      <c r="I5" s="254" t="s">
        <v>167</v>
      </c>
      <c r="J5" s="255" t="s">
        <v>168</v>
      </c>
    </row>
    <row r="6" spans="1:12" x14ac:dyDescent="0.3">
      <c r="A6" s="236">
        <v>46174</v>
      </c>
      <c r="B6" s="516">
        <v>48583340.869999997</v>
      </c>
      <c r="C6" s="256"/>
      <c r="D6" s="256"/>
      <c r="E6" s="68">
        <f>SUM(B6:D6)</f>
        <v>48583340.869999997</v>
      </c>
      <c r="G6" s="257">
        <v>5.0000000000000001E-3</v>
      </c>
      <c r="H6" s="258">
        <v>0.1119</v>
      </c>
      <c r="I6" s="259">
        <f>+H6+G6</f>
        <v>0.1169</v>
      </c>
      <c r="J6" s="260">
        <f>IF(E6&lt;0,0,E6*I6/365)</f>
        <v>15559.979582747945</v>
      </c>
      <c r="K6" s="1">
        <f>E6-K3</f>
        <v>0</v>
      </c>
      <c r="L6" s="311"/>
    </row>
    <row r="7" spans="1:12" x14ac:dyDescent="0.3">
      <c r="A7" s="386">
        <f>+A6+1</f>
        <v>46175</v>
      </c>
      <c r="B7" s="516">
        <f>-'[3]02 June'!$H$16</f>
        <v>48583340.869999997</v>
      </c>
      <c r="C7" s="410"/>
      <c r="D7" s="256"/>
      <c r="E7" s="68">
        <f t="shared" ref="E7:E32" si="0">SUM(B7:D7)</f>
        <v>48583340.869999997</v>
      </c>
      <c r="G7" s="261">
        <f>+G6</f>
        <v>5.0000000000000001E-3</v>
      </c>
      <c r="H7" s="258">
        <v>0.1119</v>
      </c>
      <c r="I7" s="259">
        <f>+H7+G7</f>
        <v>0.1169</v>
      </c>
      <c r="J7" s="260">
        <f t="shared" ref="J7:J32" si="1">IF(E7&lt;0,0,E7*I7/365)</f>
        <v>15559.979582747945</v>
      </c>
      <c r="K7" s="69">
        <f>+E7-E6</f>
        <v>0</v>
      </c>
    </row>
    <row r="8" spans="1:12" x14ac:dyDescent="0.3">
      <c r="A8" s="236">
        <f t="shared" ref="A8:A35" si="2">+A7+1</f>
        <v>46176</v>
      </c>
      <c r="B8" s="516">
        <f>-'[3]03 June'!$H$16</f>
        <v>48583340.869999997</v>
      </c>
      <c r="C8" s="256"/>
      <c r="D8" s="256"/>
      <c r="E8" s="68">
        <f t="shared" si="0"/>
        <v>48583340.869999997</v>
      </c>
      <c r="G8" s="261">
        <f t="shared" ref="G8:G35" si="3">+G7</f>
        <v>5.0000000000000001E-3</v>
      </c>
      <c r="H8" s="258">
        <v>0.1119</v>
      </c>
      <c r="I8" s="259">
        <f t="shared" ref="I8:I31" si="4">+H8+G8</f>
        <v>0.1169</v>
      </c>
      <c r="J8" s="260">
        <f t="shared" si="1"/>
        <v>15559.979582747945</v>
      </c>
      <c r="K8" s="69">
        <f t="shared" ref="K8:K32" si="5">+E8-E7</f>
        <v>0</v>
      </c>
      <c r="L8" s="69"/>
    </row>
    <row r="9" spans="1:12" x14ac:dyDescent="0.3">
      <c r="A9" s="236">
        <f t="shared" si="2"/>
        <v>46177</v>
      </c>
      <c r="B9" s="516">
        <f>-'[3]04 June'!$H$16</f>
        <v>48583340.869999997</v>
      </c>
      <c r="C9" s="256"/>
      <c r="D9" s="256"/>
      <c r="E9" s="68">
        <f t="shared" si="0"/>
        <v>48583340.869999997</v>
      </c>
      <c r="G9" s="261">
        <f t="shared" si="3"/>
        <v>5.0000000000000001E-3</v>
      </c>
      <c r="H9" s="258">
        <v>0.1119</v>
      </c>
      <c r="I9" s="259">
        <f t="shared" si="4"/>
        <v>0.1169</v>
      </c>
      <c r="J9" s="260">
        <f t="shared" si="1"/>
        <v>15559.979582747945</v>
      </c>
      <c r="K9" s="69">
        <f t="shared" si="5"/>
        <v>0</v>
      </c>
    </row>
    <row r="10" spans="1:12" x14ac:dyDescent="0.3">
      <c r="A10" s="236">
        <f t="shared" si="2"/>
        <v>46178</v>
      </c>
      <c r="B10" s="516">
        <f>-'[3]05 June'!$H$16</f>
        <v>48583340.869999997</v>
      </c>
      <c r="C10" s="68"/>
      <c r="D10" s="68"/>
      <c r="E10" s="68">
        <f>SUM(B10:D10)</f>
        <v>48583340.869999997</v>
      </c>
      <c r="G10" s="261">
        <f t="shared" si="3"/>
        <v>5.0000000000000001E-3</v>
      </c>
      <c r="H10" s="258">
        <v>0.1119</v>
      </c>
      <c r="I10" s="259">
        <f t="shared" si="4"/>
        <v>0.1169</v>
      </c>
      <c r="J10" s="260">
        <f t="shared" si="1"/>
        <v>15559.979582747945</v>
      </c>
      <c r="K10" s="69">
        <f t="shared" si="5"/>
        <v>0</v>
      </c>
    </row>
    <row r="11" spans="1:12" x14ac:dyDescent="0.3">
      <c r="A11" s="236">
        <f t="shared" si="2"/>
        <v>46179</v>
      </c>
      <c r="B11" s="516">
        <f>-'[3]05 June'!$H$16</f>
        <v>48583340.869999997</v>
      </c>
      <c r="C11" s="68"/>
      <c r="D11" s="68"/>
      <c r="E11" s="68">
        <f>SUM(B11:D11)</f>
        <v>48583340.869999997</v>
      </c>
      <c r="G11" s="261">
        <f t="shared" si="3"/>
        <v>5.0000000000000001E-3</v>
      </c>
      <c r="H11" s="258">
        <v>0.1119</v>
      </c>
      <c r="I11" s="259">
        <f t="shared" si="4"/>
        <v>0.1169</v>
      </c>
      <c r="J11" s="260">
        <f t="shared" si="1"/>
        <v>15559.979582747945</v>
      </c>
      <c r="K11" s="69">
        <f t="shared" si="5"/>
        <v>0</v>
      </c>
    </row>
    <row r="12" spans="1:12" x14ac:dyDescent="0.3">
      <c r="A12" s="236">
        <f t="shared" si="2"/>
        <v>46180</v>
      </c>
      <c r="B12" s="516">
        <f>-'[3]05 June'!$H$16</f>
        <v>48583340.869999997</v>
      </c>
      <c r="C12" s="68"/>
      <c r="D12" s="68"/>
      <c r="E12" s="68">
        <f t="shared" si="0"/>
        <v>48583340.869999997</v>
      </c>
      <c r="G12" s="261">
        <f t="shared" si="3"/>
        <v>5.0000000000000001E-3</v>
      </c>
      <c r="H12" s="258">
        <v>0.1119</v>
      </c>
      <c r="I12" s="259">
        <f t="shared" si="4"/>
        <v>0.1169</v>
      </c>
      <c r="J12" s="260">
        <f t="shared" si="1"/>
        <v>15559.979582747945</v>
      </c>
      <c r="K12" s="69">
        <f t="shared" si="5"/>
        <v>0</v>
      </c>
      <c r="L12" s="69"/>
    </row>
    <row r="13" spans="1:12" x14ac:dyDescent="0.3">
      <c r="A13" s="236">
        <f t="shared" si="2"/>
        <v>46181</v>
      </c>
      <c r="B13" s="516">
        <f>-'[3]08 June'!$H$16</f>
        <v>48583340.869999997</v>
      </c>
      <c r="C13" s="68"/>
      <c r="D13" s="68"/>
      <c r="E13" s="68">
        <f t="shared" si="0"/>
        <v>48583340.869999997</v>
      </c>
      <c r="G13" s="261">
        <f t="shared" si="3"/>
        <v>5.0000000000000001E-3</v>
      </c>
      <c r="H13" s="258">
        <v>0.1119</v>
      </c>
      <c r="I13" s="259">
        <f t="shared" si="4"/>
        <v>0.1169</v>
      </c>
      <c r="J13" s="260">
        <f t="shared" si="1"/>
        <v>15559.979582747945</v>
      </c>
      <c r="K13" s="69">
        <f t="shared" si="5"/>
        <v>0</v>
      </c>
    </row>
    <row r="14" spans="1:12" x14ac:dyDescent="0.3">
      <c r="A14" s="236">
        <f t="shared" si="2"/>
        <v>46182</v>
      </c>
      <c r="B14" s="516">
        <f>-'[3]09 June'!$H$16</f>
        <v>48583340.869999997</v>
      </c>
      <c r="C14" s="68"/>
      <c r="D14" s="68"/>
      <c r="E14" s="68">
        <f t="shared" si="0"/>
        <v>48583340.869999997</v>
      </c>
      <c r="G14" s="261">
        <f t="shared" si="3"/>
        <v>5.0000000000000001E-3</v>
      </c>
      <c r="H14" s="258">
        <v>0.1119</v>
      </c>
      <c r="I14" s="259">
        <f t="shared" si="4"/>
        <v>0.1169</v>
      </c>
      <c r="J14" s="260">
        <f t="shared" si="1"/>
        <v>15559.979582747945</v>
      </c>
      <c r="K14" s="69">
        <f t="shared" si="5"/>
        <v>0</v>
      </c>
    </row>
    <row r="15" spans="1:12" x14ac:dyDescent="0.3">
      <c r="A15" s="236">
        <f t="shared" si="2"/>
        <v>46183</v>
      </c>
      <c r="B15" s="516">
        <f>-'[3]10 June'!$H$16</f>
        <v>48583340.869999997</v>
      </c>
      <c r="C15" s="262"/>
      <c r="D15" s="68"/>
      <c r="E15" s="68">
        <f t="shared" si="0"/>
        <v>48583340.869999997</v>
      </c>
      <c r="G15" s="261">
        <f t="shared" si="3"/>
        <v>5.0000000000000001E-3</v>
      </c>
      <c r="H15" s="258">
        <v>0.1119</v>
      </c>
      <c r="I15" s="259">
        <f t="shared" si="4"/>
        <v>0.1169</v>
      </c>
      <c r="J15" s="260">
        <f t="shared" si="1"/>
        <v>15559.979582747945</v>
      </c>
      <c r="K15" s="69">
        <f t="shared" si="5"/>
        <v>0</v>
      </c>
    </row>
    <row r="16" spans="1:12" x14ac:dyDescent="0.3">
      <c r="A16" s="236">
        <f t="shared" si="2"/>
        <v>46184</v>
      </c>
      <c r="B16" s="516">
        <f>-'[3]11 June'!$H$16</f>
        <v>48583340.869999997</v>
      </c>
      <c r="C16" s="262"/>
      <c r="D16" s="68"/>
      <c r="E16" s="68">
        <f t="shared" si="0"/>
        <v>48583340.869999997</v>
      </c>
      <c r="G16" s="261">
        <f t="shared" si="3"/>
        <v>5.0000000000000001E-3</v>
      </c>
      <c r="H16" s="258">
        <v>0.1119</v>
      </c>
      <c r="I16" s="259">
        <f t="shared" si="4"/>
        <v>0.1169</v>
      </c>
      <c r="J16" s="260">
        <f t="shared" si="1"/>
        <v>15559.979582747945</v>
      </c>
      <c r="K16" s="69">
        <f t="shared" si="5"/>
        <v>0</v>
      </c>
    </row>
    <row r="17" spans="1:12" x14ac:dyDescent="0.3">
      <c r="A17" s="236">
        <f t="shared" si="2"/>
        <v>46185</v>
      </c>
      <c r="B17" s="516">
        <f>-'[3]12 June'!$H$16</f>
        <v>48583340.869999997</v>
      </c>
      <c r="C17" s="262"/>
      <c r="D17" s="68"/>
      <c r="E17" s="68">
        <f>SUM(B17:D17)</f>
        <v>48583340.869999997</v>
      </c>
      <c r="G17" s="261">
        <f t="shared" si="3"/>
        <v>5.0000000000000001E-3</v>
      </c>
      <c r="H17" s="258">
        <v>0.1119</v>
      </c>
      <c r="I17" s="259">
        <f t="shared" si="4"/>
        <v>0.1169</v>
      </c>
      <c r="J17" s="260">
        <f t="shared" si="1"/>
        <v>15559.979582747945</v>
      </c>
      <c r="K17" s="69">
        <f t="shared" si="5"/>
        <v>0</v>
      </c>
    </row>
    <row r="18" spans="1:12" x14ac:dyDescent="0.3">
      <c r="A18" s="236">
        <f t="shared" si="2"/>
        <v>46186</v>
      </c>
      <c r="B18" s="516">
        <f t="shared" ref="B18:B35" si="6">B17</f>
        <v>48583340.869999997</v>
      </c>
      <c r="C18" s="262"/>
      <c r="D18" s="68"/>
      <c r="E18" s="68">
        <f t="shared" si="0"/>
        <v>48583340.869999997</v>
      </c>
      <c r="G18" s="261">
        <f t="shared" si="3"/>
        <v>5.0000000000000001E-3</v>
      </c>
      <c r="H18" s="258">
        <v>0.1119</v>
      </c>
      <c r="I18" s="259">
        <f t="shared" si="4"/>
        <v>0.1169</v>
      </c>
      <c r="J18" s="260">
        <f t="shared" si="1"/>
        <v>15559.979582747945</v>
      </c>
      <c r="K18" s="69">
        <f t="shared" si="5"/>
        <v>0</v>
      </c>
    </row>
    <row r="19" spans="1:12" x14ac:dyDescent="0.3">
      <c r="A19" s="386">
        <f t="shared" si="2"/>
        <v>46187</v>
      </c>
      <c r="B19" s="516">
        <f t="shared" si="6"/>
        <v>48583340.869999997</v>
      </c>
      <c r="C19" s="262"/>
      <c r="D19" s="68"/>
      <c r="E19" s="68">
        <f t="shared" si="0"/>
        <v>48583340.869999997</v>
      </c>
      <c r="G19" s="261">
        <f t="shared" si="3"/>
        <v>5.0000000000000001E-3</v>
      </c>
      <c r="H19" s="258">
        <v>0.1119</v>
      </c>
      <c r="I19" s="259">
        <f t="shared" si="4"/>
        <v>0.1169</v>
      </c>
      <c r="J19" s="260">
        <f t="shared" si="1"/>
        <v>15559.979582747945</v>
      </c>
      <c r="K19" s="69">
        <f t="shared" si="5"/>
        <v>0</v>
      </c>
      <c r="L19" s="133"/>
    </row>
    <row r="20" spans="1:12" x14ac:dyDescent="0.3">
      <c r="A20" s="236">
        <f t="shared" si="2"/>
        <v>46188</v>
      </c>
      <c r="B20" s="516">
        <f t="shared" si="6"/>
        <v>48583340.869999997</v>
      </c>
      <c r="C20" s="262"/>
      <c r="D20" s="68"/>
      <c r="E20" s="68">
        <f t="shared" si="0"/>
        <v>48583340.869999997</v>
      </c>
      <c r="G20" s="261">
        <f t="shared" si="3"/>
        <v>5.0000000000000001E-3</v>
      </c>
      <c r="H20" s="258">
        <v>0.1119</v>
      </c>
      <c r="I20" s="259">
        <f t="shared" si="4"/>
        <v>0.1169</v>
      </c>
      <c r="J20" s="260">
        <f t="shared" si="1"/>
        <v>15559.979582747945</v>
      </c>
      <c r="K20" s="69">
        <f t="shared" si="5"/>
        <v>0</v>
      </c>
      <c r="L20" s="69"/>
    </row>
    <row r="21" spans="1:12" x14ac:dyDescent="0.3">
      <c r="A21" s="236">
        <f t="shared" si="2"/>
        <v>46189</v>
      </c>
      <c r="B21" s="516">
        <f t="shared" si="6"/>
        <v>48583340.869999997</v>
      </c>
      <c r="C21" s="262"/>
      <c r="D21" s="68"/>
      <c r="E21" s="68">
        <f t="shared" si="0"/>
        <v>48583340.869999997</v>
      </c>
      <c r="G21" s="261">
        <f t="shared" si="3"/>
        <v>5.0000000000000001E-3</v>
      </c>
      <c r="H21" s="258">
        <v>0.1119</v>
      </c>
      <c r="I21" s="259">
        <f t="shared" si="4"/>
        <v>0.1169</v>
      </c>
      <c r="J21" s="260">
        <f t="shared" si="1"/>
        <v>15559.979582747945</v>
      </c>
      <c r="K21" s="69">
        <f t="shared" si="5"/>
        <v>0</v>
      </c>
      <c r="L21" s="69"/>
    </row>
    <row r="22" spans="1:12" x14ac:dyDescent="0.3">
      <c r="A22" s="236">
        <f t="shared" si="2"/>
        <v>46190</v>
      </c>
      <c r="B22" s="516">
        <f t="shared" si="6"/>
        <v>48583340.869999997</v>
      </c>
      <c r="C22" s="68"/>
      <c r="D22" s="68"/>
      <c r="E22" s="68">
        <f>SUM(B22:D22)</f>
        <v>48583340.869999997</v>
      </c>
      <c r="G22" s="261">
        <f t="shared" si="3"/>
        <v>5.0000000000000001E-3</v>
      </c>
      <c r="H22" s="258">
        <v>0.1119</v>
      </c>
      <c r="I22" s="259">
        <f t="shared" si="4"/>
        <v>0.1169</v>
      </c>
      <c r="J22" s="260">
        <f t="shared" si="1"/>
        <v>15559.979582747945</v>
      </c>
      <c r="K22" s="69">
        <f t="shared" si="5"/>
        <v>0</v>
      </c>
      <c r="L22" s="69"/>
    </row>
    <row r="23" spans="1:12" x14ac:dyDescent="0.3">
      <c r="A23" s="236">
        <f t="shared" si="2"/>
        <v>46191</v>
      </c>
      <c r="B23" s="516">
        <f t="shared" si="6"/>
        <v>48583340.869999997</v>
      </c>
      <c r="C23" s="98"/>
      <c r="D23" s="68"/>
      <c r="E23" s="68">
        <f t="shared" si="0"/>
        <v>48583340.869999997</v>
      </c>
      <c r="G23" s="261">
        <f t="shared" si="3"/>
        <v>5.0000000000000001E-3</v>
      </c>
      <c r="H23" s="258">
        <v>0.1119</v>
      </c>
      <c r="I23" s="259">
        <f t="shared" si="4"/>
        <v>0.1169</v>
      </c>
      <c r="J23" s="260">
        <f t="shared" si="1"/>
        <v>15559.979582747945</v>
      </c>
      <c r="K23" s="69">
        <f t="shared" si="5"/>
        <v>0</v>
      </c>
    </row>
    <row r="24" spans="1:12" x14ac:dyDescent="0.3">
      <c r="A24" s="236">
        <f t="shared" si="2"/>
        <v>46192</v>
      </c>
      <c r="B24" s="516">
        <f t="shared" si="6"/>
        <v>48583340.869999997</v>
      </c>
      <c r="C24" s="68"/>
      <c r="D24" s="68"/>
      <c r="E24" s="68">
        <f t="shared" si="0"/>
        <v>48583340.869999997</v>
      </c>
      <c r="G24" s="261">
        <f t="shared" si="3"/>
        <v>5.0000000000000001E-3</v>
      </c>
      <c r="H24" s="258">
        <v>0.1119</v>
      </c>
      <c r="I24" s="259">
        <f t="shared" si="4"/>
        <v>0.1169</v>
      </c>
      <c r="J24" s="260">
        <f t="shared" si="1"/>
        <v>15559.979582747945</v>
      </c>
      <c r="K24" s="69">
        <f t="shared" si="5"/>
        <v>0</v>
      </c>
    </row>
    <row r="25" spans="1:12" x14ac:dyDescent="0.3">
      <c r="A25" s="236">
        <f>+A24+1</f>
        <v>46193</v>
      </c>
      <c r="B25" s="516">
        <f t="shared" si="6"/>
        <v>48583340.869999997</v>
      </c>
      <c r="C25" s="68"/>
      <c r="D25" s="68"/>
      <c r="E25" s="68">
        <f t="shared" si="0"/>
        <v>48583340.869999997</v>
      </c>
      <c r="G25" s="261">
        <f t="shared" si="3"/>
        <v>5.0000000000000001E-3</v>
      </c>
      <c r="H25" s="258">
        <v>0.1119</v>
      </c>
      <c r="I25" s="259">
        <f t="shared" si="4"/>
        <v>0.1169</v>
      </c>
      <c r="J25" s="260">
        <f t="shared" si="1"/>
        <v>15559.979582747945</v>
      </c>
      <c r="K25" s="69">
        <f t="shared" si="5"/>
        <v>0</v>
      </c>
    </row>
    <row r="26" spans="1:12" x14ac:dyDescent="0.3">
      <c r="A26" s="236">
        <f>+A25+1</f>
        <v>46194</v>
      </c>
      <c r="B26" s="516">
        <f t="shared" si="6"/>
        <v>48583340.869999997</v>
      </c>
      <c r="C26" s="68"/>
      <c r="D26" s="68"/>
      <c r="E26" s="68">
        <f t="shared" si="0"/>
        <v>48583340.869999997</v>
      </c>
      <c r="G26" s="261">
        <f t="shared" si="3"/>
        <v>5.0000000000000001E-3</v>
      </c>
      <c r="H26" s="258">
        <v>0.1119</v>
      </c>
      <c r="I26" s="259">
        <f t="shared" si="4"/>
        <v>0.1169</v>
      </c>
      <c r="J26" s="260">
        <f t="shared" si="1"/>
        <v>15559.979582747945</v>
      </c>
      <c r="K26" s="69">
        <f t="shared" si="5"/>
        <v>0</v>
      </c>
    </row>
    <row r="27" spans="1:12" x14ac:dyDescent="0.3">
      <c r="A27" s="236">
        <f t="shared" si="2"/>
        <v>46195</v>
      </c>
      <c r="B27" s="516">
        <f t="shared" si="6"/>
        <v>48583340.869999997</v>
      </c>
      <c r="C27" s="68"/>
      <c r="D27" s="68"/>
      <c r="E27" s="68">
        <f t="shared" si="0"/>
        <v>48583340.869999997</v>
      </c>
      <c r="G27" s="261">
        <f t="shared" si="3"/>
        <v>5.0000000000000001E-3</v>
      </c>
      <c r="H27" s="258">
        <v>0.1119</v>
      </c>
      <c r="I27" s="259">
        <f t="shared" si="4"/>
        <v>0.1169</v>
      </c>
      <c r="J27" s="260">
        <f t="shared" si="1"/>
        <v>15559.979582747945</v>
      </c>
      <c r="K27" s="69">
        <f t="shared" si="5"/>
        <v>0</v>
      </c>
      <c r="L27" s="69"/>
    </row>
    <row r="28" spans="1:12" x14ac:dyDescent="0.3">
      <c r="A28" s="236">
        <f t="shared" si="2"/>
        <v>46196</v>
      </c>
      <c r="B28" s="516">
        <f t="shared" si="6"/>
        <v>48583340.869999997</v>
      </c>
      <c r="C28" s="68"/>
      <c r="D28" s="68"/>
      <c r="E28" s="68">
        <f t="shared" si="0"/>
        <v>48583340.869999997</v>
      </c>
      <c r="G28" s="261">
        <f t="shared" si="3"/>
        <v>5.0000000000000001E-3</v>
      </c>
      <c r="H28" s="258">
        <v>0.1119</v>
      </c>
      <c r="I28" s="259">
        <f t="shared" si="4"/>
        <v>0.1169</v>
      </c>
      <c r="J28" s="260">
        <f t="shared" si="1"/>
        <v>15559.979582747945</v>
      </c>
      <c r="K28" s="69">
        <f t="shared" si="5"/>
        <v>0</v>
      </c>
    </row>
    <row r="29" spans="1:12" x14ac:dyDescent="0.3">
      <c r="A29" s="236">
        <f t="shared" si="2"/>
        <v>46197</v>
      </c>
      <c r="B29" s="516">
        <f t="shared" si="6"/>
        <v>48583340.869999997</v>
      </c>
      <c r="C29" s="68"/>
      <c r="D29" s="68"/>
      <c r="E29" s="68">
        <f t="shared" si="0"/>
        <v>48583340.869999997</v>
      </c>
      <c r="G29" s="261">
        <f t="shared" si="3"/>
        <v>5.0000000000000001E-3</v>
      </c>
      <c r="H29" s="258">
        <v>0.1119</v>
      </c>
      <c r="I29" s="259">
        <f t="shared" si="4"/>
        <v>0.1169</v>
      </c>
      <c r="J29" s="260">
        <f t="shared" si="1"/>
        <v>15559.979582747945</v>
      </c>
      <c r="K29" s="69">
        <f t="shared" si="5"/>
        <v>0</v>
      </c>
    </row>
    <row r="30" spans="1:12" x14ac:dyDescent="0.3">
      <c r="A30" s="236">
        <f t="shared" si="2"/>
        <v>46198</v>
      </c>
      <c r="B30" s="516">
        <f t="shared" si="6"/>
        <v>48583340.869999997</v>
      </c>
      <c r="C30" s="68"/>
      <c r="D30" s="68"/>
      <c r="E30" s="68">
        <f t="shared" si="0"/>
        <v>48583340.869999997</v>
      </c>
      <c r="G30" s="261">
        <f t="shared" si="3"/>
        <v>5.0000000000000001E-3</v>
      </c>
      <c r="H30" s="258">
        <v>0.1119</v>
      </c>
      <c r="I30" s="259">
        <f t="shared" si="4"/>
        <v>0.1169</v>
      </c>
      <c r="J30" s="260">
        <f t="shared" si="1"/>
        <v>15559.979582747945</v>
      </c>
      <c r="K30" s="69">
        <f t="shared" si="5"/>
        <v>0</v>
      </c>
      <c r="L30" s="69"/>
    </row>
    <row r="31" spans="1:12" x14ac:dyDescent="0.3">
      <c r="A31" s="236">
        <f t="shared" si="2"/>
        <v>46199</v>
      </c>
      <c r="B31" s="516">
        <f t="shared" si="6"/>
        <v>48583340.869999997</v>
      </c>
      <c r="C31" s="68"/>
      <c r="D31" s="68"/>
      <c r="E31" s="68">
        <f t="shared" si="0"/>
        <v>48583340.869999997</v>
      </c>
      <c r="G31" s="261">
        <f t="shared" si="3"/>
        <v>5.0000000000000001E-3</v>
      </c>
      <c r="H31" s="258">
        <v>0.1119</v>
      </c>
      <c r="I31" s="259">
        <f t="shared" si="4"/>
        <v>0.1169</v>
      </c>
      <c r="J31" s="260">
        <f t="shared" si="1"/>
        <v>15559.979582747945</v>
      </c>
      <c r="K31" s="69">
        <f t="shared" si="5"/>
        <v>0</v>
      </c>
    </row>
    <row r="32" spans="1:12" x14ac:dyDescent="0.3">
      <c r="A32" s="236">
        <f t="shared" si="2"/>
        <v>46200</v>
      </c>
      <c r="B32" s="516">
        <f t="shared" si="6"/>
        <v>48583340.869999997</v>
      </c>
      <c r="C32" s="68"/>
      <c r="D32" s="68"/>
      <c r="E32" s="68">
        <f t="shared" si="0"/>
        <v>48583340.869999997</v>
      </c>
      <c r="G32" s="261">
        <f t="shared" si="3"/>
        <v>5.0000000000000001E-3</v>
      </c>
      <c r="H32" s="258">
        <v>0.1119</v>
      </c>
      <c r="I32" s="259">
        <f>+H32+G32</f>
        <v>0.1169</v>
      </c>
      <c r="J32" s="260">
        <f t="shared" si="1"/>
        <v>15559.979582747945</v>
      </c>
      <c r="K32" s="69">
        <f t="shared" si="5"/>
        <v>0</v>
      </c>
    </row>
    <row r="33" spans="1:12" x14ac:dyDescent="0.3">
      <c r="A33" s="236">
        <f t="shared" si="2"/>
        <v>46201</v>
      </c>
      <c r="B33" s="516">
        <f t="shared" si="6"/>
        <v>48583340.869999997</v>
      </c>
      <c r="C33" s="68"/>
      <c r="D33" s="68"/>
      <c r="E33" s="68">
        <f>SUM(B33:D33)</f>
        <v>48583340.869999997</v>
      </c>
      <c r="G33" s="261">
        <f t="shared" si="3"/>
        <v>5.0000000000000001E-3</v>
      </c>
      <c r="H33" s="258">
        <v>0.1119</v>
      </c>
      <c r="I33" s="259">
        <f>+H33+G33</f>
        <v>0.1169</v>
      </c>
      <c r="J33" s="260">
        <f>IF(E33&lt;0,0,E33*I33/365)</f>
        <v>15559.979582747945</v>
      </c>
      <c r="K33" s="69">
        <f>+E33-E32</f>
        <v>0</v>
      </c>
    </row>
    <row r="34" spans="1:12" x14ac:dyDescent="0.3">
      <c r="A34" s="236">
        <f t="shared" si="2"/>
        <v>46202</v>
      </c>
      <c r="B34" s="516">
        <f t="shared" si="6"/>
        <v>48583340.869999997</v>
      </c>
      <c r="C34" s="68"/>
      <c r="D34" s="68"/>
      <c r="E34" s="68">
        <f>SUM(B34:D34)</f>
        <v>48583340.869999997</v>
      </c>
      <c r="G34" s="261">
        <f t="shared" si="3"/>
        <v>5.0000000000000001E-3</v>
      </c>
      <c r="H34" s="258">
        <v>0.1119</v>
      </c>
      <c r="I34" s="259">
        <f>+H34+G34</f>
        <v>0.1169</v>
      </c>
      <c r="J34" s="260">
        <f>IF(E34&lt;0,0,E34*I34/365)</f>
        <v>15559.979582747945</v>
      </c>
      <c r="K34" s="69">
        <f>+E34-E33</f>
        <v>0</v>
      </c>
    </row>
    <row r="35" spans="1:12" x14ac:dyDescent="0.3">
      <c r="A35" s="236">
        <f t="shared" si="2"/>
        <v>46203</v>
      </c>
      <c r="B35" s="516">
        <f t="shared" si="6"/>
        <v>48583340.869999997</v>
      </c>
      <c r="C35" s="68"/>
      <c r="D35" s="68"/>
      <c r="E35" s="68">
        <f>SUM(B35:D35)</f>
        <v>48583340.869999997</v>
      </c>
      <c r="G35" s="261">
        <f t="shared" si="3"/>
        <v>5.0000000000000001E-3</v>
      </c>
      <c r="H35" s="258">
        <v>0.1119</v>
      </c>
      <c r="I35" s="259">
        <f>+H35+G35</f>
        <v>0.1169</v>
      </c>
      <c r="J35" s="260">
        <f>IF(E35&lt;0,0,E35*I35/365)</f>
        <v>15559.979582747945</v>
      </c>
      <c r="K35" s="69">
        <f>+E35-E34</f>
        <v>0</v>
      </c>
    </row>
    <row r="36" spans="1:12" x14ac:dyDescent="0.3">
      <c r="B36" s="427"/>
      <c r="G36" s="263" t="s">
        <v>18</v>
      </c>
      <c r="H36" s="264"/>
      <c r="I36" s="16"/>
      <c r="J36" s="265">
        <f>SUM(J6:J35)</f>
        <v>466799.38748243859</v>
      </c>
    </row>
    <row r="37" spans="1:12" x14ac:dyDescent="0.3">
      <c r="A37" s="739"/>
      <c r="B37" s="739"/>
      <c r="C37" s="739"/>
      <c r="D37" s="739"/>
      <c r="E37" s="739"/>
      <c r="F37" s="739"/>
      <c r="G37" s="739"/>
      <c r="H37" s="739"/>
      <c r="I37" s="739"/>
      <c r="J37" s="739"/>
    </row>
    <row r="38" spans="1:12" x14ac:dyDescent="0.3">
      <c r="G38" s="747" t="s">
        <v>24</v>
      </c>
      <c r="H38" s="747"/>
      <c r="I38" s="747"/>
    </row>
    <row r="39" spans="1:12" x14ac:dyDescent="0.3">
      <c r="G39" s="745"/>
      <c r="H39" s="745"/>
      <c r="I39" s="745"/>
      <c r="J39" s="266" t="s">
        <v>0</v>
      </c>
    </row>
    <row r="40" spans="1:12" x14ac:dyDescent="0.3">
      <c r="G40" s="743" t="s">
        <v>19</v>
      </c>
      <c r="H40" s="743"/>
      <c r="I40" s="743"/>
      <c r="J40" s="533">
        <f>'[2]HBL-RF'!$J$47</f>
        <v>968096.47953439888</v>
      </c>
      <c r="K40" s="193"/>
    </row>
    <row r="41" spans="1:12" ht="15" x14ac:dyDescent="0.35">
      <c r="G41" s="759" t="s">
        <v>42</v>
      </c>
      <c r="H41" s="759"/>
      <c r="I41" s="759"/>
      <c r="J41" s="267">
        <v>0</v>
      </c>
      <c r="K41" s="193"/>
    </row>
    <row r="42" spans="1:12" x14ac:dyDescent="0.3">
      <c r="B42" s="2"/>
      <c r="D42" s="2"/>
      <c r="G42" s="758" t="str">
        <f>IF(J42&lt;0,"Excess Provision to be Reversed","Additional Provision Required")</f>
        <v>Additional Provision Required</v>
      </c>
      <c r="H42" s="758"/>
      <c r="I42" s="758"/>
      <c r="J42" s="365">
        <f>IF(J41=0,0,J41-J40)</f>
        <v>0</v>
      </c>
    </row>
    <row r="43" spans="1:12" x14ac:dyDescent="0.3">
      <c r="G43" s="745"/>
      <c r="H43" s="745"/>
      <c r="I43" s="745"/>
      <c r="J43" s="745"/>
    </row>
    <row r="44" spans="1:12" ht="16.2" customHeight="1" thickBot="1" x14ac:dyDescent="0.35">
      <c r="G44" s="755" t="s">
        <v>151</v>
      </c>
      <c r="H44" s="755"/>
      <c r="I44" s="755"/>
      <c r="J44" s="268">
        <f>J36-J42</f>
        <v>466799.38748243859</v>
      </c>
      <c r="K44" s="312"/>
    </row>
    <row r="45" spans="1:12" x14ac:dyDescent="0.3">
      <c r="G45" s="756"/>
      <c r="H45" s="756"/>
      <c r="I45" s="756"/>
      <c r="J45" s="756"/>
    </row>
    <row r="46" spans="1:12" x14ac:dyDescent="0.3">
      <c r="G46" s="757" t="s">
        <v>33</v>
      </c>
      <c r="H46" s="757"/>
      <c r="I46" s="757"/>
      <c r="J46" s="269">
        <f>J40+J44-J41</f>
        <v>1434895.8670168375</v>
      </c>
      <c r="K46" s="390"/>
      <c r="L46" s="69"/>
    </row>
    <row r="47" spans="1:12" ht="14.4" x14ac:dyDescent="0.3">
      <c r="J47" s="326"/>
    </row>
    <row r="48" spans="1:12" x14ac:dyDescent="0.3">
      <c r="J48" s="390"/>
    </row>
  </sheetData>
  <mergeCells count="15">
    <mergeCell ref="A1:J1"/>
    <mergeCell ref="A2:I2"/>
    <mergeCell ref="A3:J3"/>
    <mergeCell ref="A4:A5"/>
    <mergeCell ref="H4:H5"/>
    <mergeCell ref="A37:J37"/>
    <mergeCell ref="G44:I44"/>
    <mergeCell ref="G45:J45"/>
    <mergeCell ref="G46:I46"/>
    <mergeCell ref="G38:I38"/>
    <mergeCell ref="G39:I39"/>
    <mergeCell ref="G40:I40"/>
    <mergeCell ref="G41:I41"/>
    <mergeCell ref="G42:I42"/>
    <mergeCell ref="G43:J43"/>
  </mergeCells>
  <printOptions horizontalCentered="1" verticalCentered="1"/>
  <pageMargins left="0.75" right="0.75" top="0.5" bottom="0.5" header="0.5" footer="0.5"/>
  <pageSetup scale="80" orientation="landscape" r:id="rId1"/>
  <headerFooter alignWithMargins="0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EB7FB-146B-414B-A217-1FA375E9936D}">
  <sheetPr codeName="Sheet14"/>
  <dimension ref="A1:P50"/>
  <sheetViews>
    <sheetView topLeftCell="A21" workbookViewId="0">
      <selection activeCell="J40" sqref="J40"/>
    </sheetView>
  </sheetViews>
  <sheetFormatPr defaultColWidth="10.6328125" defaultRowHeight="13.8" x14ac:dyDescent="0.3"/>
  <cols>
    <col min="1" max="1" width="9.6328125" style="2" customWidth="1"/>
    <col min="2" max="2" width="12.453125" style="133" customWidth="1"/>
    <col min="3" max="3" width="8.36328125" style="133" customWidth="1"/>
    <col min="4" max="4" width="8.7265625" style="133" customWidth="1"/>
    <col min="5" max="5" width="12" style="133" customWidth="1"/>
    <col min="6" max="6" width="2.36328125" style="2" customWidth="1"/>
    <col min="7" max="7" width="6.08984375" style="2" customWidth="1"/>
    <col min="8" max="8" width="7.7265625" style="2" customWidth="1"/>
    <col min="9" max="9" width="14.453125" style="2" customWidth="1"/>
    <col min="10" max="10" width="12.26953125" style="2" customWidth="1"/>
    <col min="11" max="11" width="11.81640625" style="2" bestFit="1" customWidth="1"/>
    <col min="12" max="12" width="11.453125" style="2" bestFit="1" customWidth="1"/>
    <col min="13" max="13" width="10.6328125" style="2"/>
    <col min="14" max="14" width="19.81640625" style="2" bestFit="1" customWidth="1"/>
    <col min="15" max="15" width="10.6328125" style="2"/>
    <col min="16" max="16" width="19.81640625" style="2" bestFit="1" customWidth="1"/>
    <col min="17" max="16384" width="10.6328125" style="2"/>
  </cols>
  <sheetData>
    <row r="1" spans="1:16" ht="18" x14ac:dyDescent="0.35">
      <c r="A1" s="748" t="s">
        <v>195</v>
      </c>
      <c r="B1" s="748"/>
      <c r="C1" s="748"/>
      <c r="D1" s="748"/>
      <c r="E1" s="748"/>
      <c r="F1" s="748"/>
      <c r="G1" s="748"/>
      <c r="H1" s="748"/>
      <c r="I1" s="748"/>
      <c r="J1" s="748"/>
    </row>
    <row r="2" spans="1:16" ht="18.600000000000001" thickBot="1" x14ac:dyDescent="0.4">
      <c r="A2" s="749" t="s">
        <v>258</v>
      </c>
      <c r="B2" s="749"/>
      <c r="C2" s="749"/>
      <c r="D2" s="749"/>
      <c r="E2" s="749"/>
      <c r="F2" s="749"/>
      <c r="G2" s="749"/>
      <c r="H2" s="749"/>
      <c r="I2" s="749"/>
      <c r="J2" s="55">
        <f>'FINANCIAL COST SUMMARY '!I2</f>
        <v>46174</v>
      </c>
    </row>
    <row r="3" spans="1:16" x14ac:dyDescent="0.3">
      <c r="A3" s="750"/>
      <c r="B3" s="750"/>
      <c r="C3" s="750"/>
      <c r="D3" s="750"/>
      <c r="E3" s="750"/>
      <c r="F3" s="750"/>
      <c r="G3" s="750"/>
      <c r="H3" s="750"/>
      <c r="I3" s="750"/>
      <c r="J3" s="750"/>
      <c r="K3" s="515">
        <v>153610066</v>
      </c>
    </row>
    <row r="4" spans="1:16" ht="15.6" customHeight="1" x14ac:dyDescent="0.3">
      <c r="A4" s="751" t="s">
        <v>4</v>
      </c>
      <c r="B4" s="246" t="s">
        <v>160</v>
      </c>
      <c r="C4" s="247" t="s">
        <v>11</v>
      </c>
      <c r="D4" s="248"/>
      <c r="E4" s="246" t="s">
        <v>161</v>
      </c>
      <c r="G4" s="249" t="s">
        <v>162</v>
      </c>
      <c r="H4" s="753" t="s">
        <v>256</v>
      </c>
      <c r="I4" s="250" t="s">
        <v>163</v>
      </c>
      <c r="J4" s="251" t="s">
        <v>164</v>
      </c>
    </row>
    <row r="5" spans="1:16" x14ac:dyDescent="0.3">
      <c r="A5" s="752"/>
      <c r="B5" s="252" t="s">
        <v>1</v>
      </c>
      <c r="C5" s="252" t="s">
        <v>12</v>
      </c>
      <c r="D5" s="252" t="s">
        <v>13</v>
      </c>
      <c r="E5" s="252" t="s">
        <v>165</v>
      </c>
      <c r="G5" s="253" t="s">
        <v>166</v>
      </c>
      <c r="H5" s="754"/>
      <c r="I5" s="254" t="s">
        <v>167</v>
      </c>
      <c r="J5" s="255" t="s">
        <v>168</v>
      </c>
      <c r="N5" s="606">
        <v>46038</v>
      </c>
      <c r="O5" s="2">
        <v>89</v>
      </c>
      <c r="P5" s="606">
        <f>N5+O5</f>
        <v>46127</v>
      </c>
    </row>
    <row r="6" spans="1:16" x14ac:dyDescent="0.3">
      <c r="A6" s="236">
        <v>46174</v>
      </c>
      <c r="B6" s="515">
        <f>K3</f>
        <v>153610066</v>
      </c>
      <c r="C6" s="256"/>
      <c r="D6" s="256"/>
      <c r="E6" s="68">
        <f>SUM(B6:D6)</f>
        <v>153610066</v>
      </c>
      <c r="G6" s="257">
        <v>1.4999999999999999E-2</v>
      </c>
      <c r="H6" s="258">
        <v>0.1148</v>
      </c>
      <c r="I6" s="259">
        <f>+H6+G6</f>
        <v>0.1298</v>
      </c>
      <c r="J6" s="260">
        <f>IF(E6&lt;0,0,E6*I6/365)</f>
        <v>54626.264566575337</v>
      </c>
      <c r="K6" s="1">
        <f>E6-K3</f>
        <v>0</v>
      </c>
      <c r="L6" s="311"/>
      <c r="N6" s="606">
        <f>P5+1</f>
        <v>46128</v>
      </c>
      <c r="O6" s="2">
        <v>90</v>
      </c>
      <c r="P6" s="606">
        <f>N6+O6</f>
        <v>46218</v>
      </c>
    </row>
    <row r="7" spans="1:16" x14ac:dyDescent="0.3">
      <c r="A7" s="386">
        <f>+A6+1</f>
        <v>46175</v>
      </c>
      <c r="B7" s="515">
        <f>B6</f>
        <v>153610066</v>
      </c>
      <c r="C7" s="410"/>
      <c r="D7" s="256"/>
      <c r="E7" s="68">
        <f t="shared" ref="E7:E32" si="0">SUM(B7:D7)</f>
        <v>153610066</v>
      </c>
      <c r="G7" s="261">
        <f>+G6</f>
        <v>1.4999999999999999E-2</v>
      </c>
      <c r="H7" s="258">
        <f>H6</f>
        <v>0.1148</v>
      </c>
      <c r="I7" s="259">
        <f>+H7+G7</f>
        <v>0.1298</v>
      </c>
      <c r="J7" s="260">
        <f t="shared" ref="J7:J32" si="1">IF(E7&lt;0,0,E7*I7/365)</f>
        <v>54626.264566575337</v>
      </c>
      <c r="K7" s="69">
        <f>+E7-E6</f>
        <v>0</v>
      </c>
      <c r="N7" s="606">
        <f>P6+1</f>
        <v>46219</v>
      </c>
      <c r="O7" s="2">
        <v>91</v>
      </c>
      <c r="P7" s="606">
        <f>N7+O7</f>
        <v>46310</v>
      </c>
    </row>
    <row r="8" spans="1:16" x14ac:dyDescent="0.3">
      <c r="A8" s="236">
        <f t="shared" ref="A8:A35" si="2">+A7+1</f>
        <v>46176</v>
      </c>
      <c r="B8" s="515">
        <f t="shared" ref="B8:B35" si="3">B7</f>
        <v>153610066</v>
      </c>
      <c r="C8" s="256"/>
      <c r="D8" s="256"/>
      <c r="E8" s="68">
        <f t="shared" si="0"/>
        <v>153610066</v>
      </c>
      <c r="G8" s="261">
        <f t="shared" ref="G8:G35" si="4">+G7</f>
        <v>1.4999999999999999E-2</v>
      </c>
      <c r="H8" s="258">
        <f>H7</f>
        <v>0.1148</v>
      </c>
      <c r="I8" s="259">
        <f t="shared" ref="I8:I31" si="5">+H8+G8</f>
        <v>0.1298</v>
      </c>
      <c r="J8" s="260">
        <f t="shared" si="1"/>
        <v>54626.264566575337</v>
      </c>
      <c r="K8" s="69">
        <f>+E8-E7</f>
        <v>0</v>
      </c>
      <c r="L8" s="69"/>
      <c r="N8" s="606">
        <f>P7+1</f>
        <v>46311</v>
      </c>
      <c r="O8" s="2">
        <v>91</v>
      </c>
      <c r="P8" s="606">
        <f>N8+O8</f>
        <v>46402</v>
      </c>
    </row>
    <row r="9" spans="1:16" x14ac:dyDescent="0.3">
      <c r="A9" s="236">
        <f t="shared" si="2"/>
        <v>46177</v>
      </c>
      <c r="B9" s="515">
        <f t="shared" si="3"/>
        <v>153610066</v>
      </c>
      <c r="C9" s="256"/>
      <c r="D9" s="256"/>
      <c r="E9" s="68">
        <f t="shared" si="0"/>
        <v>153610066</v>
      </c>
      <c r="G9" s="261">
        <f t="shared" si="4"/>
        <v>1.4999999999999999E-2</v>
      </c>
      <c r="H9" s="258">
        <f t="shared" ref="H9:H35" si="6">H8</f>
        <v>0.1148</v>
      </c>
      <c r="I9" s="259">
        <f t="shared" si="5"/>
        <v>0.1298</v>
      </c>
      <c r="J9" s="260">
        <f t="shared" si="1"/>
        <v>54626.264566575337</v>
      </c>
      <c r="K9" s="69">
        <f>+E9-E8</f>
        <v>0</v>
      </c>
    </row>
    <row r="10" spans="1:16" x14ac:dyDescent="0.3">
      <c r="A10" s="236">
        <f t="shared" si="2"/>
        <v>46178</v>
      </c>
      <c r="B10" s="515">
        <f t="shared" si="3"/>
        <v>153610066</v>
      </c>
      <c r="C10" s="68"/>
      <c r="D10" s="68"/>
      <c r="E10" s="68">
        <f>SUM(B10:D10)</f>
        <v>153610066</v>
      </c>
      <c r="G10" s="261">
        <f t="shared" si="4"/>
        <v>1.4999999999999999E-2</v>
      </c>
      <c r="H10" s="258">
        <f t="shared" si="6"/>
        <v>0.1148</v>
      </c>
      <c r="I10" s="259">
        <f t="shared" si="5"/>
        <v>0.1298</v>
      </c>
      <c r="J10" s="260">
        <f t="shared" si="1"/>
        <v>54626.264566575337</v>
      </c>
      <c r="K10" s="69">
        <f t="shared" ref="K10:K32" si="7">+E10-E9</f>
        <v>0</v>
      </c>
    </row>
    <row r="11" spans="1:16" x14ac:dyDescent="0.3">
      <c r="A11" s="236">
        <f t="shared" si="2"/>
        <v>46179</v>
      </c>
      <c r="B11" s="515">
        <f t="shared" si="3"/>
        <v>153610066</v>
      </c>
      <c r="C11" s="68"/>
      <c r="D11" s="68"/>
      <c r="E11" s="68">
        <f>SUM(B11:D11)</f>
        <v>153610066</v>
      </c>
      <c r="G11" s="261">
        <f t="shared" si="4"/>
        <v>1.4999999999999999E-2</v>
      </c>
      <c r="H11" s="258">
        <f t="shared" si="6"/>
        <v>0.1148</v>
      </c>
      <c r="I11" s="259">
        <f t="shared" si="5"/>
        <v>0.1298</v>
      </c>
      <c r="J11" s="260">
        <f t="shared" si="1"/>
        <v>54626.264566575337</v>
      </c>
      <c r="K11" s="69">
        <f t="shared" si="7"/>
        <v>0</v>
      </c>
    </row>
    <row r="12" spans="1:16" x14ac:dyDescent="0.3">
      <c r="A12" s="236">
        <f t="shared" si="2"/>
        <v>46180</v>
      </c>
      <c r="B12" s="515">
        <f t="shared" si="3"/>
        <v>153610066</v>
      </c>
      <c r="C12" s="68"/>
      <c r="D12" s="68"/>
      <c r="E12" s="68">
        <f t="shared" si="0"/>
        <v>153610066</v>
      </c>
      <c r="G12" s="261">
        <f t="shared" si="4"/>
        <v>1.4999999999999999E-2</v>
      </c>
      <c r="H12" s="258">
        <f t="shared" si="6"/>
        <v>0.1148</v>
      </c>
      <c r="I12" s="259">
        <f t="shared" si="5"/>
        <v>0.1298</v>
      </c>
      <c r="J12" s="260">
        <f t="shared" si="1"/>
        <v>54626.264566575337</v>
      </c>
      <c r="K12" s="69">
        <f t="shared" si="7"/>
        <v>0</v>
      </c>
      <c r="L12" s="69"/>
    </row>
    <row r="13" spans="1:16" x14ac:dyDescent="0.3">
      <c r="A13" s="236">
        <f t="shared" si="2"/>
        <v>46181</v>
      </c>
      <c r="B13" s="515">
        <f t="shared" si="3"/>
        <v>153610066</v>
      </c>
      <c r="C13" s="68"/>
      <c r="D13" s="68"/>
      <c r="E13" s="68">
        <f t="shared" si="0"/>
        <v>153610066</v>
      </c>
      <c r="G13" s="261">
        <f t="shared" si="4"/>
        <v>1.4999999999999999E-2</v>
      </c>
      <c r="H13" s="258">
        <f t="shared" si="6"/>
        <v>0.1148</v>
      </c>
      <c r="I13" s="259">
        <f t="shared" si="5"/>
        <v>0.1298</v>
      </c>
      <c r="J13" s="260">
        <f t="shared" si="1"/>
        <v>54626.264566575337</v>
      </c>
      <c r="K13" s="69">
        <f t="shared" si="7"/>
        <v>0</v>
      </c>
    </row>
    <row r="14" spans="1:16" x14ac:dyDescent="0.3">
      <c r="A14" s="236">
        <f t="shared" si="2"/>
        <v>46182</v>
      </c>
      <c r="B14" s="515">
        <f t="shared" si="3"/>
        <v>153610066</v>
      </c>
      <c r="C14" s="68"/>
      <c r="D14" s="68"/>
      <c r="E14" s="68">
        <f t="shared" si="0"/>
        <v>153610066</v>
      </c>
      <c r="G14" s="261">
        <f t="shared" si="4"/>
        <v>1.4999999999999999E-2</v>
      </c>
      <c r="H14" s="258">
        <f t="shared" si="6"/>
        <v>0.1148</v>
      </c>
      <c r="I14" s="259">
        <f t="shared" si="5"/>
        <v>0.1298</v>
      </c>
      <c r="J14" s="260">
        <f t="shared" si="1"/>
        <v>54626.264566575337</v>
      </c>
      <c r="K14" s="69">
        <f t="shared" si="7"/>
        <v>0</v>
      </c>
    </row>
    <row r="15" spans="1:16" x14ac:dyDescent="0.3">
      <c r="A15" s="236">
        <f t="shared" si="2"/>
        <v>46183</v>
      </c>
      <c r="B15" s="515">
        <f t="shared" si="3"/>
        <v>153610066</v>
      </c>
      <c r="C15" s="262"/>
      <c r="D15" s="68"/>
      <c r="E15" s="68">
        <f t="shared" si="0"/>
        <v>153610066</v>
      </c>
      <c r="G15" s="261">
        <f t="shared" si="4"/>
        <v>1.4999999999999999E-2</v>
      </c>
      <c r="H15" s="258">
        <f t="shared" si="6"/>
        <v>0.1148</v>
      </c>
      <c r="I15" s="259">
        <f t="shared" si="5"/>
        <v>0.1298</v>
      </c>
      <c r="J15" s="260">
        <f t="shared" si="1"/>
        <v>54626.264566575337</v>
      </c>
      <c r="K15" s="69">
        <f t="shared" si="7"/>
        <v>0</v>
      </c>
    </row>
    <row r="16" spans="1:16" x14ac:dyDescent="0.3">
      <c r="A16" s="236">
        <f t="shared" si="2"/>
        <v>46184</v>
      </c>
      <c r="B16" s="515">
        <f t="shared" si="3"/>
        <v>153610066</v>
      </c>
      <c r="C16" s="262"/>
      <c r="D16" s="68"/>
      <c r="E16" s="68">
        <f t="shared" si="0"/>
        <v>153610066</v>
      </c>
      <c r="G16" s="261">
        <f t="shared" si="4"/>
        <v>1.4999999999999999E-2</v>
      </c>
      <c r="H16" s="258">
        <f t="shared" si="6"/>
        <v>0.1148</v>
      </c>
      <c r="I16" s="259">
        <f t="shared" si="5"/>
        <v>0.1298</v>
      </c>
      <c r="J16" s="260">
        <f t="shared" si="1"/>
        <v>54626.264566575337</v>
      </c>
      <c r="K16" s="69">
        <f t="shared" si="7"/>
        <v>0</v>
      </c>
    </row>
    <row r="17" spans="1:12" x14ac:dyDescent="0.3">
      <c r="A17" s="236">
        <f t="shared" si="2"/>
        <v>46185</v>
      </c>
      <c r="B17" s="515">
        <f t="shared" si="3"/>
        <v>153610066</v>
      </c>
      <c r="C17" s="262"/>
      <c r="D17" s="68"/>
      <c r="E17" s="68">
        <f>SUM(B17:D17)</f>
        <v>153610066</v>
      </c>
      <c r="G17" s="261">
        <f t="shared" si="4"/>
        <v>1.4999999999999999E-2</v>
      </c>
      <c r="H17" s="258">
        <f t="shared" si="6"/>
        <v>0.1148</v>
      </c>
      <c r="I17" s="259">
        <f t="shared" si="5"/>
        <v>0.1298</v>
      </c>
      <c r="J17" s="260">
        <f t="shared" si="1"/>
        <v>54626.264566575337</v>
      </c>
      <c r="K17" s="69">
        <f t="shared" si="7"/>
        <v>0</v>
      </c>
    </row>
    <row r="18" spans="1:12" x14ac:dyDescent="0.3">
      <c r="A18" s="236">
        <f t="shared" si="2"/>
        <v>46186</v>
      </c>
      <c r="B18" s="515">
        <f>B17</f>
        <v>153610066</v>
      </c>
      <c r="C18" s="262"/>
      <c r="D18" s="68"/>
      <c r="E18" s="68">
        <f t="shared" si="0"/>
        <v>153610066</v>
      </c>
      <c r="G18" s="261">
        <f t="shared" si="4"/>
        <v>1.4999999999999999E-2</v>
      </c>
      <c r="H18" s="258">
        <f t="shared" si="6"/>
        <v>0.1148</v>
      </c>
      <c r="I18" s="259">
        <f t="shared" si="5"/>
        <v>0.1298</v>
      </c>
      <c r="J18" s="260">
        <f t="shared" si="1"/>
        <v>54626.264566575337</v>
      </c>
      <c r="K18" s="69">
        <v>0</v>
      </c>
    </row>
    <row r="19" spans="1:12" x14ac:dyDescent="0.3">
      <c r="A19" s="386">
        <f t="shared" si="2"/>
        <v>46187</v>
      </c>
      <c r="B19" s="515">
        <f>B18</f>
        <v>153610066</v>
      </c>
      <c r="C19" s="262"/>
      <c r="D19" s="68"/>
      <c r="E19" s="68">
        <f t="shared" si="0"/>
        <v>153610066</v>
      </c>
      <c r="G19" s="261">
        <f t="shared" si="4"/>
        <v>1.4999999999999999E-2</v>
      </c>
      <c r="H19" s="258">
        <f t="shared" si="6"/>
        <v>0.1148</v>
      </c>
      <c r="I19" s="259">
        <f t="shared" si="5"/>
        <v>0.1298</v>
      </c>
      <c r="J19" s="260">
        <f t="shared" si="1"/>
        <v>54626.264566575337</v>
      </c>
      <c r="K19" s="69">
        <f t="shared" si="7"/>
        <v>0</v>
      </c>
      <c r="L19" s="133"/>
    </row>
    <row r="20" spans="1:12" x14ac:dyDescent="0.3">
      <c r="A20" s="236">
        <f t="shared" si="2"/>
        <v>46188</v>
      </c>
      <c r="B20" s="515">
        <f t="shared" si="3"/>
        <v>153610066</v>
      </c>
      <c r="C20" s="262"/>
      <c r="D20" s="68"/>
      <c r="E20" s="68">
        <f t="shared" si="0"/>
        <v>153610066</v>
      </c>
      <c r="G20" s="261">
        <f t="shared" si="4"/>
        <v>1.4999999999999999E-2</v>
      </c>
      <c r="H20" s="258">
        <f t="shared" si="6"/>
        <v>0.1148</v>
      </c>
      <c r="I20" s="259">
        <f>+H20+G20</f>
        <v>0.1298</v>
      </c>
      <c r="J20" s="260">
        <f t="shared" si="1"/>
        <v>54626.264566575337</v>
      </c>
      <c r="K20" s="69">
        <f t="shared" si="7"/>
        <v>0</v>
      </c>
      <c r="L20" s="69"/>
    </row>
    <row r="21" spans="1:12" x14ac:dyDescent="0.3">
      <c r="A21" s="236">
        <f t="shared" si="2"/>
        <v>46189</v>
      </c>
      <c r="B21" s="515">
        <f t="shared" si="3"/>
        <v>153610066</v>
      </c>
      <c r="C21" s="262"/>
      <c r="D21" s="68"/>
      <c r="E21" s="68">
        <f t="shared" si="0"/>
        <v>153610066</v>
      </c>
      <c r="G21" s="261">
        <f t="shared" si="4"/>
        <v>1.4999999999999999E-2</v>
      </c>
      <c r="H21" s="258">
        <f t="shared" si="6"/>
        <v>0.1148</v>
      </c>
      <c r="I21" s="259">
        <f>+H21+G21</f>
        <v>0.1298</v>
      </c>
      <c r="J21" s="260">
        <f t="shared" si="1"/>
        <v>54626.264566575337</v>
      </c>
      <c r="K21" s="69">
        <f t="shared" si="7"/>
        <v>0</v>
      </c>
      <c r="L21" s="69"/>
    </row>
    <row r="22" spans="1:12" x14ac:dyDescent="0.3">
      <c r="A22" s="236">
        <f t="shared" si="2"/>
        <v>46190</v>
      </c>
      <c r="B22" s="515">
        <f t="shared" si="3"/>
        <v>153610066</v>
      </c>
      <c r="C22" s="68"/>
      <c r="D22" s="68"/>
      <c r="E22" s="68">
        <f>SUM(B22:D22)</f>
        <v>153610066</v>
      </c>
      <c r="G22" s="261">
        <f t="shared" si="4"/>
        <v>1.4999999999999999E-2</v>
      </c>
      <c r="H22" s="258">
        <f t="shared" si="6"/>
        <v>0.1148</v>
      </c>
      <c r="I22" s="259">
        <f t="shared" si="5"/>
        <v>0.1298</v>
      </c>
      <c r="J22" s="260">
        <f t="shared" si="1"/>
        <v>54626.264566575337</v>
      </c>
      <c r="K22" s="69">
        <f t="shared" si="7"/>
        <v>0</v>
      </c>
      <c r="L22" s="69"/>
    </row>
    <row r="23" spans="1:12" x14ac:dyDescent="0.3">
      <c r="A23" s="236">
        <f t="shared" si="2"/>
        <v>46191</v>
      </c>
      <c r="B23" s="515">
        <f t="shared" si="3"/>
        <v>153610066</v>
      </c>
      <c r="C23" s="98"/>
      <c r="D23" s="68"/>
      <c r="E23" s="68">
        <f t="shared" si="0"/>
        <v>153610066</v>
      </c>
      <c r="G23" s="261">
        <f t="shared" si="4"/>
        <v>1.4999999999999999E-2</v>
      </c>
      <c r="H23" s="258">
        <f t="shared" si="6"/>
        <v>0.1148</v>
      </c>
      <c r="I23" s="259">
        <f t="shared" si="5"/>
        <v>0.1298</v>
      </c>
      <c r="J23" s="260">
        <f t="shared" si="1"/>
        <v>54626.264566575337</v>
      </c>
      <c r="K23" s="69">
        <f t="shared" si="7"/>
        <v>0</v>
      </c>
    </row>
    <row r="24" spans="1:12" x14ac:dyDescent="0.3">
      <c r="A24" s="236">
        <f t="shared" si="2"/>
        <v>46192</v>
      </c>
      <c r="B24" s="515">
        <f t="shared" si="3"/>
        <v>153610066</v>
      </c>
      <c r="C24" s="68"/>
      <c r="D24" s="68"/>
      <c r="E24" s="68">
        <f t="shared" si="0"/>
        <v>153610066</v>
      </c>
      <c r="G24" s="261">
        <f t="shared" si="4"/>
        <v>1.4999999999999999E-2</v>
      </c>
      <c r="H24" s="258">
        <f t="shared" si="6"/>
        <v>0.1148</v>
      </c>
      <c r="I24" s="259">
        <f t="shared" si="5"/>
        <v>0.1298</v>
      </c>
      <c r="J24" s="260">
        <f t="shared" si="1"/>
        <v>54626.264566575337</v>
      </c>
      <c r="K24" s="69">
        <f t="shared" si="7"/>
        <v>0</v>
      </c>
    </row>
    <row r="25" spans="1:12" x14ac:dyDescent="0.3">
      <c r="A25" s="236">
        <f t="shared" si="2"/>
        <v>46193</v>
      </c>
      <c r="B25" s="515">
        <f t="shared" si="3"/>
        <v>153610066</v>
      </c>
      <c r="C25" s="68"/>
      <c r="D25" s="68"/>
      <c r="E25" s="68">
        <f t="shared" si="0"/>
        <v>153610066</v>
      </c>
      <c r="G25" s="261">
        <f t="shared" si="4"/>
        <v>1.4999999999999999E-2</v>
      </c>
      <c r="H25" s="258">
        <f t="shared" si="6"/>
        <v>0.1148</v>
      </c>
      <c r="I25" s="259">
        <f t="shared" si="5"/>
        <v>0.1298</v>
      </c>
      <c r="J25" s="260">
        <f t="shared" si="1"/>
        <v>54626.264566575337</v>
      </c>
      <c r="K25" s="69">
        <f t="shared" si="7"/>
        <v>0</v>
      </c>
    </row>
    <row r="26" spans="1:12" x14ac:dyDescent="0.3">
      <c r="A26" s="236">
        <f t="shared" si="2"/>
        <v>46194</v>
      </c>
      <c r="B26" s="515">
        <f t="shared" si="3"/>
        <v>153610066</v>
      </c>
      <c r="C26" s="68"/>
      <c r="D26" s="68"/>
      <c r="E26" s="68">
        <f t="shared" si="0"/>
        <v>153610066</v>
      </c>
      <c r="G26" s="261">
        <f t="shared" si="4"/>
        <v>1.4999999999999999E-2</v>
      </c>
      <c r="H26" s="258">
        <f t="shared" si="6"/>
        <v>0.1148</v>
      </c>
      <c r="I26" s="259">
        <f t="shared" si="5"/>
        <v>0.1298</v>
      </c>
      <c r="J26" s="260">
        <f t="shared" si="1"/>
        <v>54626.264566575337</v>
      </c>
      <c r="K26" s="69">
        <f t="shared" si="7"/>
        <v>0</v>
      </c>
    </row>
    <row r="27" spans="1:12" x14ac:dyDescent="0.3">
      <c r="A27" s="236">
        <f t="shared" si="2"/>
        <v>46195</v>
      </c>
      <c r="B27" s="515">
        <f t="shared" si="3"/>
        <v>153610066</v>
      </c>
      <c r="C27" s="68"/>
      <c r="D27" s="68"/>
      <c r="E27" s="68">
        <f t="shared" si="0"/>
        <v>153610066</v>
      </c>
      <c r="G27" s="261">
        <f t="shared" si="4"/>
        <v>1.4999999999999999E-2</v>
      </c>
      <c r="H27" s="258">
        <f t="shared" si="6"/>
        <v>0.1148</v>
      </c>
      <c r="I27" s="259">
        <f t="shared" si="5"/>
        <v>0.1298</v>
      </c>
      <c r="J27" s="260">
        <f t="shared" si="1"/>
        <v>54626.264566575337</v>
      </c>
      <c r="K27" s="69">
        <f t="shared" si="7"/>
        <v>0</v>
      </c>
      <c r="L27" s="69"/>
    </row>
    <row r="28" spans="1:12" x14ac:dyDescent="0.3">
      <c r="A28" s="236">
        <f t="shared" si="2"/>
        <v>46196</v>
      </c>
      <c r="B28" s="515">
        <f t="shared" si="3"/>
        <v>153610066</v>
      </c>
      <c r="C28" s="68"/>
      <c r="D28" s="68"/>
      <c r="E28" s="68">
        <f t="shared" si="0"/>
        <v>153610066</v>
      </c>
      <c r="G28" s="261">
        <f t="shared" si="4"/>
        <v>1.4999999999999999E-2</v>
      </c>
      <c r="H28" s="258">
        <f t="shared" si="6"/>
        <v>0.1148</v>
      </c>
      <c r="I28" s="259">
        <f t="shared" si="5"/>
        <v>0.1298</v>
      </c>
      <c r="J28" s="260">
        <f t="shared" si="1"/>
        <v>54626.264566575337</v>
      </c>
      <c r="K28" s="69">
        <f t="shared" si="7"/>
        <v>0</v>
      </c>
    </row>
    <row r="29" spans="1:12" x14ac:dyDescent="0.3">
      <c r="A29" s="236">
        <f t="shared" si="2"/>
        <v>46197</v>
      </c>
      <c r="B29" s="515">
        <f t="shared" si="3"/>
        <v>153610066</v>
      </c>
      <c r="C29" s="68"/>
      <c r="D29" s="68"/>
      <c r="E29" s="68">
        <f t="shared" si="0"/>
        <v>153610066</v>
      </c>
      <c r="G29" s="261">
        <f t="shared" si="4"/>
        <v>1.4999999999999999E-2</v>
      </c>
      <c r="H29" s="258">
        <f t="shared" si="6"/>
        <v>0.1148</v>
      </c>
      <c r="I29" s="259">
        <f t="shared" si="5"/>
        <v>0.1298</v>
      </c>
      <c r="J29" s="260">
        <f t="shared" si="1"/>
        <v>54626.264566575337</v>
      </c>
      <c r="K29" s="69">
        <f t="shared" si="7"/>
        <v>0</v>
      </c>
    </row>
    <row r="30" spans="1:12" x14ac:dyDescent="0.3">
      <c r="A30" s="236">
        <f t="shared" si="2"/>
        <v>46198</v>
      </c>
      <c r="B30" s="515">
        <f t="shared" si="3"/>
        <v>153610066</v>
      </c>
      <c r="C30" s="68"/>
      <c r="D30" s="68"/>
      <c r="E30" s="68">
        <f t="shared" si="0"/>
        <v>153610066</v>
      </c>
      <c r="G30" s="261">
        <f t="shared" si="4"/>
        <v>1.4999999999999999E-2</v>
      </c>
      <c r="H30" s="258">
        <f t="shared" si="6"/>
        <v>0.1148</v>
      </c>
      <c r="I30" s="259">
        <f t="shared" si="5"/>
        <v>0.1298</v>
      </c>
      <c r="J30" s="260">
        <f t="shared" si="1"/>
        <v>54626.264566575337</v>
      </c>
      <c r="K30" s="69">
        <f t="shared" si="7"/>
        <v>0</v>
      </c>
      <c r="L30" s="69"/>
    </row>
    <row r="31" spans="1:12" x14ac:dyDescent="0.3">
      <c r="A31" s="236">
        <f t="shared" si="2"/>
        <v>46199</v>
      </c>
      <c r="B31" s="515">
        <f t="shared" si="3"/>
        <v>153610066</v>
      </c>
      <c r="C31" s="68"/>
      <c r="D31" s="68"/>
      <c r="E31" s="68">
        <f t="shared" si="0"/>
        <v>153610066</v>
      </c>
      <c r="G31" s="261">
        <f t="shared" si="4"/>
        <v>1.4999999999999999E-2</v>
      </c>
      <c r="H31" s="258">
        <f t="shared" si="6"/>
        <v>0.1148</v>
      </c>
      <c r="I31" s="259">
        <f t="shared" si="5"/>
        <v>0.1298</v>
      </c>
      <c r="J31" s="260">
        <f t="shared" si="1"/>
        <v>54626.264566575337</v>
      </c>
      <c r="K31" s="69">
        <f t="shared" si="7"/>
        <v>0</v>
      </c>
    </row>
    <row r="32" spans="1:12" x14ac:dyDescent="0.3">
      <c r="A32" s="236">
        <f t="shared" si="2"/>
        <v>46200</v>
      </c>
      <c r="B32" s="515">
        <f t="shared" si="3"/>
        <v>153610066</v>
      </c>
      <c r="C32" s="68"/>
      <c r="D32" s="68"/>
      <c r="E32" s="68">
        <f t="shared" si="0"/>
        <v>153610066</v>
      </c>
      <c r="G32" s="261">
        <f t="shared" si="4"/>
        <v>1.4999999999999999E-2</v>
      </c>
      <c r="H32" s="258">
        <f t="shared" si="6"/>
        <v>0.1148</v>
      </c>
      <c r="I32" s="259">
        <f>+H32+G32</f>
        <v>0.1298</v>
      </c>
      <c r="J32" s="260">
        <f t="shared" si="1"/>
        <v>54626.264566575337</v>
      </c>
      <c r="K32" s="69">
        <f t="shared" si="7"/>
        <v>0</v>
      </c>
    </row>
    <row r="33" spans="1:13" x14ac:dyDescent="0.3">
      <c r="A33" s="236">
        <f t="shared" si="2"/>
        <v>46201</v>
      </c>
      <c r="B33" s="515">
        <f t="shared" si="3"/>
        <v>153610066</v>
      </c>
      <c r="C33" s="68"/>
      <c r="D33" s="68"/>
      <c r="E33" s="68">
        <f>SUM(B33:D33)</f>
        <v>153610066</v>
      </c>
      <c r="G33" s="261">
        <f t="shared" si="4"/>
        <v>1.4999999999999999E-2</v>
      </c>
      <c r="H33" s="258">
        <f t="shared" si="6"/>
        <v>0.1148</v>
      </c>
      <c r="I33" s="259">
        <f>+H33+G33</f>
        <v>0.1298</v>
      </c>
      <c r="J33" s="260">
        <f>IF(E33&lt;0,0,E33*I33/365)</f>
        <v>54626.264566575337</v>
      </c>
      <c r="K33" s="69">
        <f>+E33-E32</f>
        <v>0</v>
      </c>
    </row>
    <row r="34" spans="1:13" x14ac:dyDescent="0.3">
      <c r="A34" s="236">
        <f t="shared" si="2"/>
        <v>46202</v>
      </c>
      <c r="B34" s="515">
        <f t="shared" si="3"/>
        <v>153610066</v>
      </c>
      <c r="C34" s="68"/>
      <c r="D34" s="68"/>
      <c r="E34" s="68">
        <f>SUM(B34:D34)</f>
        <v>153610066</v>
      </c>
      <c r="G34" s="261">
        <f t="shared" si="4"/>
        <v>1.4999999999999999E-2</v>
      </c>
      <c r="H34" s="258">
        <f t="shared" si="6"/>
        <v>0.1148</v>
      </c>
      <c r="I34" s="259">
        <f>+H34+G34</f>
        <v>0.1298</v>
      </c>
      <c r="J34" s="260">
        <f>IF(E34&lt;0,0,E34*I34/365)</f>
        <v>54626.264566575337</v>
      </c>
      <c r="K34" s="69">
        <f>+E34-E33</f>
        <v>0</v>
      </c>
    </row>
    <row r="35" spans="1:13" x14ac:dyDescent="0.3">
      <c r="A35" s="236">
        <f t="shared" si="2"/>
        <v>46203</v>
      </c>
      <c r="B35" s="515">
        <f t="shared" si="3"/>
        <v>153610066</v>
      </c>
      <c r="C35" s="68"/>
      <c r="D35" s="68"/>
      <c r="E35" s="68">
        <f>SUM(B35:D35)</f>
        <v>153610066</v>
      </c>
      <c r="G35" s="261">
        <f t="shared" si="4"/>
        <v>1.4999999999999999E-2</v>
      </c>
      <c r="H35" s="258">
        <f t="shared" si="6"/>
        <v>0.1148</v>
      </c>
      <c r="I35" s="259">
        <f>+H35+G35</f>
        <v>0.1298</v>
      </c>
      <c r="J35" s="260">
        <f>IF(E35&lt;0,0,E35*I35/365)</f>
        <v>54626.264566575337</v>
      </c>
      <c r="K35" s="69">
        <f>+E35-E34</f>
        <v>0</v>
      </c>
    </row>
    <row r="36" spans="1:13" x14ac:dyDescent="0.3">
      <c r="B36" s="427"/>
      <c r="G36" s="263" t="s">
        <v>18</v>
      </c>
      <c r="H36" s="264"/>
      <c r="I36" s="16"/>
      <c r="J36" s="265">
        <f>SUM(J6:J35)</f>
        <v>1638787.9369972604</v>
      </c>
    </row>
    <row r="37" spans="1:13" x14ac:dyDescent="0.3">
      <c r="A37" s="739"/>
      <c r="B37" s="739"/>
      <c r="C37" s="739"/>
      <c r="D37" s="739"/>
      <c r="E37" s="739"/>
      <c r="F37" s="739"/>
      <c r="G37" s="739"/>
      <c r="H37" s="739"/>
      <c r="I37" s="739"/>
      <c r="J37" s="739"/>
    </row>
    <row r="38" spans="1:13" x14ac:dyDescent="0.3">
      <c r="G38" s="747" t="s">
        <v>24</v>
      </c>
      <c r="H38" s="747"/>
      <c r="I38" s="747"/>
    </row>
    <row r="39" spans="1:13" x14ac:dyDescent="0.3">
      <c r="G39" s="745"/>
      <c r="H39" s="745"/>
      <c r="I39" s="745"/>
      <c r="J39" s="266" t="s">
        <v>0</v>
      </c>
    </row>
    <row r="40" spans="1:13" x14ac:dyDescent="0.3">
      <c r="G40" s="743" t="s">
        <v>19</v>
      </c>
      <c r="H40" s="743"/>
      <c r="I40" s="743"/>
      <c r="J40" s="533">
        <f>'[2]PICL-LT'!$J$47</f>
        <v>1374383.9070326025</v>
      </c>
      <c r="K40" s="193"/>
    </row>
    <row r="41" spans="1:13" ht="15" x14ac:dyDescent="0.35">
      <c r="G41" s="759" t="s">
        <v>42</v>
      </c>
      <c r="H41" s="759"/>
      <c r="I41" s="759"/>
      <c r="J41" s="267">
        <v>0</v>
      </c>
      <c r="K41" s="594" t="s">
        <v>281</v>
      </c>
      <c r="M41" s="595">
        <f>J41+5908080</f>
        <v>5908080</v>
      </c>
    </row>
    <row r="42" spans="1:13" x14ac:dyDescent="0.3">
      <c r="B42" s="2"/>
      <c r="D42" s="2"/>
      <c r="G42" s="758" t="str">
        <f>IF(J42&lt;0,"Excess Provision to be Reversed","Additional Provision Required")</f>
        <v>Additional Provision Required</v>
      </c>
      <c r="H42" s="758"/>
      <c r="I42" s="758"/>
      <c r="J42" s="365">
        <f>IF(J41=0,0,J41-J40)</f>
        <v>0</v>
      </c>
    </row>
    <row r="43" spans="1:13" x14ac:dyDescent="0.3">
      <c r="G43" s="745"/>
      <c r="H43" s="745"/>
      <c r="I43" s="745"/>
      <c r="J43" s="745"/>
    </row>
    <row r="44" spans="1:13" ht="16.2" customHeight="1" thickBot="1" x14ac:dyDescent="0.35">
      <c r="G44" s="755" t="s">
        <v>151</v>
      </c>
      <c r="H44" s="755"/>
      <c r="I44" s="755"/>
      <c r="J44" s="268">
        <f>J36-J42</f>
        <v>1638787.9369972604</v>
      </c>
    </row>
    <row r="45" spans="1:13" x14ac:dyDescent="0.3">
      <c r="G45" s="756"/>
      <c r="H45" s="756"/>
      <c r="I45" s="756"/>
      <c r="J45" s="756"/>
      <c r="M45" s="312"/>
    </row>
    <row r="46" spans="1:13" x14ac:dyDescent="0.3">
      <c r="G46" s="757" t="s">
        <v>33</v>
      </c>
      <c r="H46" s="757"/>
      <c r="I46" s="757"/>
      <c r="J46" s="269">
        <f>J40+J44-J41</f>
        <v>3013171.8440298629</v>
      </c>
      <c r="K46" s="390"/>
      <c r="L46" s="69"/>
    </row>
    <row r="47" spans="1:13" ht="14.4" x14ac:dyDescent="0.3">
      <c r="J47" s="326"/>
    </row>
    <row r="48" spans="1:13" x14ac:dyDescent="0.3">
      <c r="J48" s="327"/>
    </row>
    <row r="50" spans="10:10" x14ac:dyDescent="0.3">
      <c r="J50" s="312"/>
    </row>
  </sheetData>
  <mergeCells count="15">
    <mergeCell ref="A1:J1"/>
    <mergeCell ref="A2:I2"/>
    <mergeCell ref="A3:J3"/>
    <mergeCell ref="A4:A5"/>
    <mergeCell ref="H4:H5"/>
    <mergeCell ref="A37:J37"/>
    <mergeCell ref="G44:I44"/>
    <mergeCell ref="G45:J45"/>
    <mergeCell ref="G46:I46"/>
    <mergeCell ref="G38:I38"/>
    <mergeCell ref="G39:I39"/>
    <mergeCell ref="G40:I40"/>
    <mergeCell ref="G41:I41"/>
    <mergeCell ref="G42:I42"/>
    <mergeCell ref="G43:J43"/>
  </mergeCell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F7FC4-E756-4A44-8706-A72387FB70FB}">
  <sheetPr transitionEvaluation="1" codeName="Sheet15">
    <pageSetUpPr fitToPage="1"/>
  </sheetPr>
  <dimension ref="A1:K36"/>
  <sheetViews>
    <sheetView showGridLines="0" defaultGridColor="0" colorId="22" zoomScaleNormal="100" workbookViewId="0">
      <selection activeCell="C6" sqref="C6"/>
    </sheetView>
  </sheetViews>
  <sheetFormatPr defaultColWidth="10.6328125" defaultRowHeight="15.6" x14ac:dyDescent="0.3"/>
  <cols>
    <col min="1" max="1" width="28.36328125" style="19" customWidth="1"/>
    <col min="2" max="2" width="17.81640625" style="19" customWidth="1"/>
    <col min="3" max="3" width="13" style="19" customWidth="1"/>
    <col min="4" max="4" width="10.6328125" style="19" customWidth="1"/>
    <col min="5" max="5" width="14.08984375" style="19" customWidth="1"/>
    <col min="6" max="6" width="11.54296875" style="19" customWidth="1"/>
    <col min="7" max="8" width="13.1796875" style="19" customWidth="1"/>
    <col min="9" max="9" width="13.6328125" style="19" customWidth="1"/>
    <col min="10" max="10" width="10.6328125" style="19"/>
    <col min="11" max="11" width="15.08984375" style="19" bestFit="1" customWidth="1"/>
    <col min="12" max="16384" width="10.6328125" style="19"/>
  </cols>
  <sheetData>
    <row r="1" spans="1:11" ht="25.8" x14ac:dyDescent="0.5">
      <c r="A1" s="691" t="s">
        <v>35</v>
      </c>
      <c r="B1" s="691"/>
      <c r="C1" s="691"/>
      <c r="D1" s="691"/>
      <c r="E1" s="691"/>
      <c r="F1" s="691"/>
      <c r="G1" s="691"/>
      <c r="H1" s="691"/>
      <c r="I1" s="691"/>
    </row>
    <row r="2" spans="1:11" ht="21.6" thickBot="1" x14ac:dyDescent="0.45">
      <c r="A2" s="692" t="s">
        <v>27</v>
      </c>
      <c r="B2" s="692"/>
      <c r="C2" s="692"/>
      <c r="D2" s="692"/>
      <c r="E2" s="692"/>
      <c r="F2" s="692"/>
      <c r="G2" s="692"/>
      <c r="H2" s="692"/>
      <c r="I2" s="54">
        <v>44228</v>
      </c>
    </row>
    <row r="3" spans="1:11" x14ac:dyDescent="0.3">
      <c r="A3" s="20"/>
      <c r="B3" s="20"/>
      <c r="C3" s="20"/>
      <c r="D3" s="20"/>
      <c r="E3" s="20"/>
      <c r="F3" s="20"/>
      <c r="G3" s="20"/>
      <c r="H3" s="20"/>
      <c r="I3" s="20"/>
    </row>
    <row r="4" spans="1:11" ht="72" x14ac:dyDescent="0.3">
      <c r="A4" s="88" t="s">
        <v>25</v>
      </c>
      <c r="B4" s="89" t="s">
        <v>38</v>
      </c>
      <c r="C4" s="89" t="s">
        <v>30</v>
      </c>
      <c r="D4" s="89" t="s">
        <v>28</v>
      </c>
      <c r="E4" s="89" t="s">
        <v>43</v>
      </c>
      <c r="F4" s="89" t="s">
        <v>39</v>
      </c>
      <c r="G4" s="89" t="s">
        <v>31</v>
      </c>
      <c r="H4" s="89" t="s">
        <v>40</v>
      </c>
      <c r="I4" s="89" t="s">
        <v>1</v>
      </c>
    </row>
    <row r="5" spans="1:11" x14ac:dyDescent="0.3">
      <c r="A5" s="83"/>
      <c r="B5" s="84"/>
      <c r="C5" s="84"/>
      <c r="D5" s="84"/>
      <c r="E5" s="84"/>
      <c r="F5" s="84"/>
      <c r="G5" s="84"/>
      <c r="H5" s="84"/>
      <c r="I5" s="84"/>
    </row>
    <row r="6" spans="1:11" x14ac:dyDescent="0.3">
      <c r="A6" s="75" t="s">
        <v>37</v>
      </c>
      <c r="B6" s="76">
        <v>3963813.6986301374</v>
      </c>
      <c r="C6" s="76" t="e">
        <f>#REF!</f>
        <v>#REF!</v>
      </c>
      <c r="D6" s="76" t="e">
        <f>C6-B6</f>
        <v>#REF!</v>
      </c>
      <c r="E6" s="76" t="e">
        <f>#REF!</f>
        <v>#REF!</v>
      </c>
      <c r="F6" s="76" t="e">
        <f>SUM(D6:E6)</f>
        <v>#REF!</v>
      </c>
      <c r="G6" s="76" t="e">
        <f>F6+B6</f>
        <v>#REF!</v>
      </c>
      <c r="H6" s="76" t="e">
        <f>#REF!</f>
        <v>#REF!</v>
      </c>
      <c r="I6" s="76" t="e">
        <f>G6-H6</f>
        <v>#REF!</v>
      </c>
      <c r="J6" s="85"/>
      <c r="K6" s="67"/>
    </row>
    <row r="7" spans="1:11" x14ac:dyDescent="0.3">
      <c r="A7" s="791"/>
      <c r="B7" s="792"/>
      <c r="C7" s="792"/>
      <c r="D7" s="792"/>
      <c r="E7" s="792"/>
      <c r="F7" s="792"/>
      <c r="G7" s="792"/>
      <c r="H7" s="792"/>
      <c r="I7" s="793"/>
      <c r="J7" s="86"/>
    </row>
    <row r="8" spans="1:11" x14ac:dyDescent="0.3">
      <c r="A8" s="81" t="s">
        <v>26</v>
      </c>
      <c r="B8" s="90">
        <f t="shared" ref="B8:I8" si="0">SUM(B6:B6)</f>
        <v>3963813.6986301374</v>
      </c>
      <c r="C8" s="90" t="e">
        <f t="shared" si="0"/>
        <v>#REF!</v>
      </c>
      <c r="D8" s="122" t="e">
        <f t="shared" si="0"/>
        <v>#REF!</v>
      </c>
      <c r="E8" s="90" t="e">
        <f t="shared" si="0"/>
        <v>#REF!</v>
      </c>
      <c r="F8" s="90" t="e">
        <f t="shared" si="0"/>
        <v>#REF!</v>
      </c>
      <c r="G8" s="90" t="e">
        <f t="shared" si="0"/>
        <v>#REF!</v>
      </c>
      <c r="H8" s="90" t="e">
        <f t="shared" si="0"/>
        <v>#REF!</v>
      </c>
      <c r="I8" s="90" t="e">
        <f t="shared" si="0"/>
        <v>#REF!</v>
      </c>
    </row>
    <row r="9" spans="1:11" x14ac:dyDescent="0.3">
      <c r="A9" s="77"/>
      <c r="B9" s="76"/>
      <c r="C9" s="76"/>
      <c r="D9" s="76"/>
      <c r="E9" s="76"/>
      <c r="F9" s="76"/>
      <c r="G9" s="76"/>
      <c r="H9" s="76"/>
      <c r="I9" s="76"/>
    </row>
    <row r="10" spans="1:11" x14ac:dyDescent="0.3">
      <c r="A10" s="79"/>
      <c r="B10" s="80">
        <v>0</v>
      </c>
      <c r="C10" s="80">
        <v>0</v>
      </c>
      <c r="D10" s="80">
        <f>C10-B10</f>
        <v>0</v>
      </c>
      <c r="E10" s="80"/>
      <c r="F10" s="80"/>
      <c r="G10" s="76"/>
      <c r="H10" s="76"/>
      <c r="I10" s="76">
        <f>G10-H10</f>
        <v>0</v>
      </c>
    </row>
    <row r="11" spans="1:11" ht="10.199999999999999" customHeight="1" x14ac:dyDescent="0.3">
      <c r="A11" s="77"/>
      <c r="B11" s="76"/>
      <c r="C11" s="76"/>
      <c r="D11" s="76"/>
      <c r="E11" s="76"/>
      <c r="F11" s="76"/>
      <c r="G11" s="76"/>
      <c r="H11" s="76"/>
      <c r="I11" s="76"/>
    </row>
    <row r="12" spans="1:11" x14ac:dyDescent="0.3">
      <c r="A12" s="81" t="s">
        <v>34</v>
      </c>
      <c r="B12" s="78">
        <f>B8</f>
        <v>3963813.6986301374</v>
      </c>
      <c r="C12" s="78" t="e">
        <f>C8</f>
        <v>#REF!</v>
      </c>
      <c r="D12" s="123" t="e">
        <f t="shared" ref="D12:I12" si="1">D8+D10</f>
        <v>#REF!</v>
      </c>
      <c r="E12" s="78" t="e">
        <f t="shared" si="1"/>
        <v>#REF!</v>
      </c>
      <c r="F12" s="82" t="e">
        <f t="shared" si="1"/>
        <v>#REF!</v>
      </c>
      <c r="G12" s="78" t="e">
        <f t="shared" si="1"/>
        <v>#REF!</v>
      </c>
      <c r="H12" s="78" t="e">
        <f t="shared" si="1"/>
        <v>#REF!</v>
      </c>
      <c r="I12" s="78" t="e">
        <f t="shared" si="1"/>
        <v>#REF!</v>
      </c>
    </row>
    <row r="14" spans="1:11" x14ac:dyDescent="0.3">
      <c r="B14" s="66"/>
    </row>
    <row r="15" spans="1:11" ht="23.4" x14ac:dyDescent="0.45">
      <c r="B15" s="108"/>
      <c r="E15" s="108" t="s">
        <v>50</v>
      </c>
      <c r="I15" s="108" t="s">
        <v>50</v>
      </c>
    </row>
    <row r="16" spans="1:11" x14ac:dyDescent="0.3">
      <c r="C16" s="224" t="s">
        <v>153</v>
      </c>
      <c r="D16" s="225"/>
      <c r="E16" s="226"/>
      <c r="G16" s="221" t="s">
        <v>152</v>
      </c>
      <c r="H16" s="222"/>
      <c r="I16" s="223"/>
    </row>
    <row r="17" spans="1:5" x14ac:dyDescent="0.3">
      <c r="A17" s="110"/>
      <c r="B17" s="109"/>
    </row>
    <row r="18" spans="1:5" x14ac:dyDescent="0.3">
      <c r="A18" s="110"/>
      <c r="B18" s="109"/>
    </row>
    <row r="19" spans="1:5" x14ac:dyDescent="0.3">
      <c r="B19" s="109"/>
      <c r="C19" s="114" t="s">
        <v>47</v>
      </c>
      <c r="D19" s="115"/>
      <c r="E19" s="116"/>
    </row>
    <row r="20" spans="1:5" ht="18" x14ac:dyDescent="0.35">
      <c r="A20" s="110"/>
      <c r="B20" s="217"/>
      <c r="C20" s="114" t="s">
        <v>48</v>
      </c>
      <c r="D20" s="115"/>
      <c r="E20" s="116"/>
    </row>
    <row r="21" spans="1:5" x14ac:dyDescent="0.3">
      <c r="C21" s="110"/>
      <c r="E21" s="110"/>
    </row>
    <row r="22" spans="1:5" ht="16.2" thickBot="1" x14ac:dyDescent="0.35">
      <c r="C22" s="111" t="s">
        <v>49</v>
      </c>
      <c r="D22" s="112"/>
      <c r="E22" s="113"/>
    </row>
    <row r="23" spans="1:5" ht="16.2" thickTop="1" x14ac:dyDescent="0.3"/>
    <row r="24" spans="1:5" ht="18" x14ac:dyDescent="0.35">
      <c r="A24" s="192"/>
      <c r="B24" s="218"/>
      <c r="C24" s="218"/>
    </row>
    <row r="25" spans="1:5" ht="18" x14ac:dyDescent="0.35">
      <c r="A25" s="218"/>
      <c r="B25" s="218"/>
      <c r="C25" s="218"/>
    </row>
    <row r="26" spans="1:5" x14ac:dyDescent="0.3">
      <c r="A26" s="86"/>
      <c r="B26" s="219"/>
      <c r="C26" s="183"/>
    </row>
    <row r="27" spans="1:5" x14ac:dyDescent="0.3">
      <c r="A27" s="86"/>
      <c r="B27" s="183"/>
      <c r="C27" s="183"/>
    </row>
    <row r="28" spans="1:5" x14ac:dyDescent="0.3">
      <c r="A28" s="86"/>
      <c r="B28" s="183"/>
      <c r="C28" s="183"/>
    </row>
    <row r="29" spans="1:5" x14ac:dyDescent="0.3">
      <c r="A29" s="86"/>
      <c r="B29" s="183"/>
      <c r="C29" s="183"/>
    </row>
    <row r="30" spans="1:5" x14ac:dyDescent="0.3">
      <c r="A30" s="86"/>
      <c r="B30" s="183"/>
      <c r="C30" s="183"/>
    </row>
    <row r="31" spans="1:5" x14ac:dyDescent="0.3">
      <c r="A31" s="86"/>
      <c r="B31" s="183"/>
      <c r="C31" s="183"/>
    </row>
    <row r="32" spans="1:5" x14ac:dyDescent="0.3">
      <c r="A32" s="86"/>
      <c r="B32" s="183"/>
      <c r="C32" s="183"/>
    </row>
    <row r="33" spans="1:3" x14ac:dyDescent="0.3">
      <c r="A33" s="86"/>
      <c r="B33" s="220"/>
      <c r="C33" s="183"/>
    </row>
    <row r="34" spans="1:3" x14ac:dyDescent="0.3">
      <c r="A34" s="86"/>
      <c r="B34" s="183"/>
      <c r="C34" s="183"/>
    </row>
    <row r="35" spans="1:3" x14ac:dyDescent="0.3">
      <c r="A35" s="86"/>
      <c r="B35" s="183"/>
      <c r="C35" s="183"/>
    </row>
    <row r="36" spans="1:3" x14ac:dyDescent="0.3">
      <c r="A36" s="86"/>
      <c r="B36" s="86"/>
      <c r="C36" s="86"/>
    </row>
  </sheetData>
  <mergeCells count="3">
    <mergeCell ref="A1:I1"/>
    <mergeCell ref="A2:H2"/>
    <mergeCell ref="A7:I7"/>
  </mergeCells>
  <printOptions horizontalCentered="1" verticalCentered="1"/>
  <pageMargins left="0.5" right="0.5" top="0.5" bottom="0.5" header="0.5" footer="0.5"/>
  <pageSetup scale="78" orientation="landscape" horizontalDpi="4294967295" verticalDpi="4294967295" r:id="rId1"/>
  <headerFooter alignWithMargins="0">
    <oddFooter>&amp;L&amp;D  ^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E24C7-FA51-4298-B5F4-5FE45A57322F}">
  <sheetPr transitionEvaluation="1" codeName="Sheet16">
    <pageSetUpPr fitToPage="1"/>
  </sheetPr>
  <dimension ref="A1:I19"/>
  <sheetViews>
    <sheetView showGridLines="0" defaultGridColor="0" colorId="22" zoomScale="90" workbookViewId="0">
      <selection activeCell="I13" sqref="I13"/>
    </sheetView>
  </sheetViews>
  <sheetFormatPr defaultColWidth="10.6328125" defaultRowHeight="13.8" x14ac:dyDescent="0.3"/>
  <cols>
    <col min="1" max="1" width="5.6328125" style="52" customWidth="1"/>
    <col min="2" max="2" width="4.90625" style="52" customWidth="1"/>
    <col min="3" max="3" width="26.81640625" style="52" customWidth="1"/>
    <col min="4" max="6" width="12" style="52" customWidth="1"/>
    <col min="7" max="7" width="5.6328125" style="52" customWidth="1"/>
    <col min="8" max="16384" width="10.6328125" style="52"/>
  </cols>
  <sheetData>
    <row r="1" spans="1:9" ht="18" x14ac:dyDescent="0.35">
      <c r="A1" s="65" t="s">
        <v>35</v>
      </c>
      <c r="B1" s="23"/>
      <c r="C1" s="23"/>
      <c r="D1" s="24"/>
      <c r="E1" s="23"/>
      <c r="F1" s="23"/>
    </row>
    <row r="2" spans="1:9" x14ac:dyDescent="0.3">
      <c r="A2" s="25"/>
      <c r="B2" s="26"/>
      <c r="C2" s="26"/>
      <c r="D2" s="26"/>
      <c r="E2" s="27" t="s">
        <v>14</v>
      </c>
      <c r="F2" s="28"/>
    </row>
    <row r="3" spans="1:9" x14ac:dyDescent="0.3">
      <c r="A3" s="29"/>
      <c r="B3" s="20"/>
      <c r="C3" s="20"/>
      <c r="D3" s="20"/>
      <c r="E3" s="22" t="s">
        <v>2</v>
      </c>
      <c r="F3" s="30"/>
    </row>
    <row r="4" spans="1:9" x14ac:dyDescent="0.3">
      <c r="A4" s="31"/>
      <c r="B4" s="21" t="s">
        <v>3</v>
      </c>
      <c r="C4" s="32"/>
      <c r="D4" s="32"/>
      <c r="E4" s="22" t="s">
        <v>17</v>
      </c>
      <c r="F4" s="28"/>
    </row>
    <row r="5" spans="1:9" x14ac:dyDescent="0.3">
      <c r="A5" s="29"/>
      <c r="B5" s="20"/>
      <c r="C5" s="20"/>
      <c r="D5" s="20"/>
      <c r="E5" s="22" t="s">
        <v>4</v>
      </c>
      <c r="F5" s="53" t="s">
        <v>157</v>
      </c>
    </row>
    <row r="6" spans="1:9" x14ac:dyDescent="0.3">
      <c r="A6" s="31"/>
      <c r="B6" s="33"/>
      <c r="C6" s="33"/>
      <c r="D6" s="33"/>
      <c r="E6" s="20"/>
      <c r="F6" s="34"/>
    </row>
    <row r="7" spans="1:9" x14ac:dyDescent="0.3">
      <c r="A7" s="35" t="s">
        <v>5</v>
      </c>
      <c r="B7" s="36" t="s">
        <v>6</v>
      </c>
      <c r="C7" s="37"/>
      <c r="D7" s="61" t="s">
        <v>15</v>
      </c>
      <c r="E7" s="38" t="s">
        <v>7</v>
      </c>
      <c r="F7" s="38" t="s">
        <v>8</v>
      </c>
    </row>
    <row r="8" spans="1:9" x14ac:dyDescent="0.3">
      <c r="A8" s="39" t="s">
        <v>9</v>
      </c>
      <c r="B8" s="40"/>
      <c r="C8" s="41"/>
      <c r="D8" s="42" t="s">
        <v>16</v>
      </c>
      <c r="E8" s="43" t="s">
        <v>10</v>
      </c>
      <c r="F8" s="43" t="s">
        <v>10</v>
      </c>
    </row>
    <row r="9" spans="1:9" x14ac:dyDescent="0.3">
      <c r="A9" s="44"/>
      <c r="B9" s="46"/>
      <c r="C9" s="47"/>
      <c r="D9" s="44"/>
      <c r="E9" s="45"/>
      <c r="F9" s="45"/>
    </row>
    <row r="10" spans="1:9" ht="15.6" customHeight="1" x14ac:dyDescent="0.3">
      <c r="A10" s="44">
        <v>1</v>
      </c>
      <c r="B10" s="794" t="s">
        <v>41</v>
      </c>
      <c r="C10" s="795"/>
      <c r="D10" s="57"/>
      <c r="E10" s="87" t="e">
        <f>'FINANCIAL COST SUMMARY'!F6</f>
        <v>#REF!</v>
      </c>
      <c r="F10" s="48"/>
    </row>
    <row r="11" spans="1:9" ht="15.6" customHeight="1" x14ac:dyDescent="0.3">
      <c r="A11" s="49">
        <v>2</v>
      </c>
      <c r="B11" s="796" t="str">
        <f>+B10</f>
        <v>Al-Baraka Bank-FATR</v>
      </c>
      <c r="C11" s="797"/>
      <c r="D11" s="58"/>
      <c r="E11" s="50"/>
      <c r="F11" s="50" t="e">
        <f>E10</f>
        <v>#REF!</v>
      </c>
    </row>
    <row r="12" spans="1:9" ht="14.4" thickBot="1" x14ac:dyDescent="0.35">
      <c r="A12" s="49"/>
      <c r="B12" s="213"/>
      <c r="C12" s="212"/>
      <c r="D12" s="58"/>
      <c r="E12" s="50"/>
      <c r="F12" s="50"/>
      <c r="G12" s="60"/>
      <c r="H12" s="60"/>
    </row>
    <row r="13" spans="1:9" ht="36" customHeight="1" thickBot="1" x14ac:dyDescent="0.35">
      <c r="A13" s="798" t="s">
        <v>158</v>
      </c>
      <c r="B13" s="799"/>
      <c r="C13" s="799"/>
      <c r="D13" s="800"/>
      <c r="E13" s="120" t="e">
        <f>SUM(E9:E12)</f>
        <v>#REF!</v>
      </c>
      <c r="F13" s="120" t="e">
        <f>SUM(F9:F12)</f>
        <v>#REF!</v>
      </c>
    </row>
    <row r="14" spans="1:9" x14ac:dyDescent="0.3">
      <c r="A14" s="23"/>
      <c r="B14" s="23"/>
      <c r="C14" s="23"/>
      <c r="D14" s="23"/>
      <c r="E14" s="23"/>
      <c r="F14" s="23"/>
    </row>
    <row r="15" spans="1:9" ht="15.6" x14ac:dyDescent="0.3">
      <c r="A15" s="62"/>
      <c r="B15" s="63"/>
      <c r="C15" s="63"/>
      <c r="D15" s="63"/>
      <c r="E15" s="63"/>
      <c r="F15" s="63"/>
      <c r="G15" s="60"/>
      <c r="H15" s="60"/>
      <c r="I15" s="60"/>
    </row>
    <row r="16" spans="1:9" x14ac:dyDescent="0.3">
      <c r="A16" s="64"/>
      <c r="B16" s="64"/>
      <c r="C16" s="64"/>
      <c r="D16" s="64"/>
      <c r="E16" s="64"/>
      <c r="F16" s="64"/>
      <c r="G16" s="60"/>
      <c r="H16" s="60"/>
      <c r="I16" s="60"/>
    </row>
    <row r="17" spans="1:6" x14ac:dyDescent="0.3">
      <c r="A17" s="23"/>
      <c r="B17" s="23"/>
      <c r="C17" s="23"/>
      <c r="D17" s="23"/>
      <c r="E17" s="23"/>
      <c r="F17" s="23"/>
    </row>
    <row r="18" spans="1:6" x14ac:dyDescent="0.3">
      <c r="A18" s="23"/>
      <c r="B18" s="23"/>
      <c r="C18" s="23"/>
      <c r="D18" s="23"/>
      <c r="E18" s="51"/>
      <c r="F18" s="23"/>
    </row>
    <row r="19" spans="1:6" ht="16.2" customHeight="1" x14ac:dyDescent="0.3">
      <c r="A19" s="23"/>
      <c r="B19" s="23"/>
      <c r="C19" s="23"/>
      <c r="D19" s="23"/>
      <c r="E19" s="51"/>
      <c r="F19" s="23"/>
    </row>
  </sheetData>
  <mergeCells count="3">
    <mergeCell ref="B10:C10"/>
    <mergeCell ref="B11:C11"/>
    <mergeCell ref="A13:D13"/>
  </mergeCells>
  <printOptions horizontalCentered="1" verticalCentered="1"/>
  <pageMargins left="0.5" right="0.5" top="0.5" bottom="0.5" header="0.5" footer="0.5"/>
  <pageSetup orientation="landscape" horizontalDpi="300" verticalDpi="300" r:id="rId1"/>
  <headerFooter alignWithMargins="0">
    <oddFooter>&amp;L&amp;9&amp;D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BC371-F502-4467-8A06-7767C09D3996}">
  <sheetPr transitionEvaluation="1" codeName="Sheet2">
    <pageSetUpPr fitToPage="1"/>
  </sheetPr>
  <dimension ref="A1:K24"/>
  <sheetViews>
    <sheetView showGridLines="0" defaultGridColor="0" colorId="22" zoomScale="110" zoomScaleNormal="110" workbookViewId="0">
      <selection activeCell="C14" sqref="C14"/>
    </sheetView>
  </sheetViews>
  <sheetFormatPr defaultColWidth="10.6328125" defaultRowHeight="15.6" x14ac:dyDescent="0.3"/>
  <cols>
    <col min="1" max="1" width="28.36328125" style="19" customWidth="1"/>
    <col min="2" max="2" width="17.81640625" style="19" customWidth="1"/>
    <col min="3" max="3" width="13" style="19" customWidth="1"/>
    <col min="4" max="4" width="11.453125" style="19" bestFit="1" customWidth="1"/>
    <col min="5" max="5" width="14.08984375" style="19" customWidth="1"/>
    <col min="6" max="6" width="11.54296875" style="19" customWidth="1"/>
    <col min="7" max="8" width="13.1796875" style="19" customWidth="1"/>
    <col min="9" max="9" width="13.6328125" style="19" customWidth="1"/>
    <col min="10" max="10" width="1.453125" style="19" customWidth="1"/>
    <col min="11" max="11" width="11.453125" style="19" bestFit="1" customWidth="1"/>
    <col min="12" max="16384" width="10.6328125" style="19"/>
  </cols>
  <sheetData>
    <row r="1" spans="1:11" ht="25.8" x14ac:dyDescent="0.5">
      <c r="A1" s="691" t="s">
        <v>195</v>
      </c>
      <c r="B1" s="691"/>
      <c r="C1" s="691"/>
      <c r="D1" s="691"/>
      <c r="E1" s="691"/>
      <c r="F1" s="691"/>
      <c r="G1" s="691"/>
      <c r="H1" s="691"/>
      <c r="I1" s="691"/>
    </row>
    <row r="2" spans="1:11" ht="21.6" thickBot="1" x14ac:dyDescent="0.45">
      <c r="A2" s="692" t="s">
        <v>27</v>
      </c>
      <c r="B2" s="692"/>
      <c r="C2" s="692"/>
      <c r="D2" s="692"/>
      <c r="E2" s="692"/>
      <c r="F2" s="692"/>
      <c r="G2" s="692"/>
      <c r="H2" s="692"/>
      <c r="I2" s="54">
        <v>46174</v>
      </c>
    </row>
    <row r="3" spans="1:11" x14ac:dyDescent="0.3">
      <c r="A3" s="270"/>
      <c r="B3" s="270"/>
      <c r="C3" s="270"/>
      <c r="D3" s="270"/>
      <c r="E3" s="270"/>
      <c r="F3" s="270"/>
      <c r="G3" s="270"/>
      <c r="H3" s="270"/>
      <c r="I3" s="270"/>
    </row>
    <row r="4" spans="1:11" ht="69.599999999999994" customHeight="1" x14ac:dyDescent="0.3">
      <c r="A4" s="271" t="s">
        <v>25</v>
      </c>
      <c r="B4" s="591" t="s">
        <v>38</v>
      </c>
      <c r="C4" s="272" t="s">
        <v>30</v>
      </c>
      <c r="D4" s="272" t="s">
        <v>28</v>
      </c>
      <c r="E4" s="272" t="s">
        <v>43</v>
      </c>
      <c r="F4" s="272" t="s">
        <v>39</v>
      </c>
      <c r="G4" s="272" t="s">
        <v>31</v>
      </c>
      <c r="H4" s="272" t="s">
        <v>40</v>
      </c>
      <c r="I4" s="272" t="s">
        <v>1</v>
      </c>
    </row>
    <row r="5" spans="1:11" x14ac:dyDescent="0.3">
      <c r="A5" s="603"/>
      <c r="B5" s="605"/>
      <c r="C5" s="590"/>
      <c r="D5" s="316"/>
      <c r="E5" s="316"/>
      <c r="F5" s="316"/>
      <c r="G5" s="316"/>
      <c r="H5" s="316"/>
      <c r="I5" s="316"/>
    </row>
    <row r="6" spans="1:11" x14ac:dyDescent="0.3">
      <c r="A6" s="604" t="s">
        <v>179</v>
      </c>
      <c r="B6" s="602">
        <v>0</v>
      </c>
      <c r="C6" s="572">
        <f>'MCB-FATR '!D74</f>
        <v>0</v>
      </c>
      <c r="D6" s="118">
        <f t="shared" ref="D6:D16" si="0">C6-B6</f>
        <v>0</v>
      </c>
      <c r="E6" s="625">
        <f>'MCB-FATR '!D83</f>
        <v>1241831.2328952462</v>
      </c>
      <c r="F6" s="118">
        <f t="shared" ref="F6:F16" si="1">SUM(D6:E6)</f>
        <v>1241831.2328952462</v>
      </c>
      <c r="G6" s="118">
        <f t="shared" ref="G6:G12" si="2">F6+C6</f>
        <v>1241831.2328952462</v>
      </c>
      <c r="H6" s="626">
        <f>'MCB-FATR '!D79</f>
        <v>0</v>
      </c>
      <c r="I6" s="118">
        <f t="shared" ref="I6:I16" si="3">G6-H6</f>
        <v>1241831.2328952462</v>
      </c>
      <c r="K6" s="573"/>
    </row>
    <row r="7" spans="1:11" x14ac:dyDescent="0.3">
      <c r="A7" s="604" t="s">
        <v>180</v>
      </c>
      <c r="B7" s="622">
        <v>2665657.6139839608</v>
      </c>
      <c r="C7" s="620">
        <f>'MCB-RF '!J40</f>
        <v>2665657.6139839608</v>
      </c>
      <c r="D7" s="118">
        <f t="shared" si="0"/>
        <v>0</v>
      </c>
      <c r="E7" s="625">
        <f>'MCB-RF '!J44</f>
        <v>811689.67584100249</v>
      </c>
      <c r="F7" s="118">
        <f t="shared" si="1"/>
        <v>811689.67584100249</v>
      </c>
      <c r="G7" s="118">
        <f t="shared" si="2"/>
        <v>3477347.2898249635</v>
      </c>
      <c r="H7" s="626">
        <f>'MCB-RF '!J41</f>
        <v>0</v>
      </c>
      <c r="I7" s="627">
        <f t="shared" si="3"/>
        <v>3477347.2898249635</v>
      </c>
      <c r="J7" s="86"/>
      <c r="K7" s="573"/>
    </row>
    <row r="8" spans="1:11" x14ac:dyDescent="0.3">
      <c r="A8" s="615" t="s">
        <v>203</v>
      </c>
      <c r="B8" s="617">
        <v>695474.18626669422</v>
      </c>
      <c r="C8" s="620">
        <f>'SONERI-RF'!J40</f>
        <v>695474.18626669422</v>
      </c>
      <c r="D8" s="118">
        <f t="shared" si="0"/>
        <v>0</v>
      </c>
      <c r="E8" s="625">
        <f>'SONERI-RF'!J44</f>
        <v>161038.47604753973</v>
      </c>
      <c r="F8" s="118">
        <f t="shared" si="1"/>
        <v>161038.47604753973</v>
      </c>
      <c r="G8" s="118">
        <f t="shared" si="2"/>
        <v>856512.66231423395</v>
      </c>
      <c r="H8" s="626">
        <f>'SONERI-RF'!J41</f>
        <v>0</v>
      </c>
      <c r="I8" s="628">
        <f t="shared" si="3"/>
        <v>856512.66231423395</v>
      </c>
      <c r="J8" s="86"/>
      <c r="K8" s="573"/>
    </row>
    <row r="9" spans="1:11" x14ac:dyDescent="0.3">
      <c r="A9" s="615" t="s">
        <v>204</v>
      </c>
      <c r="B9" s="617">
        <v>1467684.92</v>
      </c>
      <c r="C9" s="620">
        <f>'SONERI-FATR'!C74</f>
        <v>1467684.9170844334</v>
      </c>
      <c r="D9" s="118">
        <f t="shared" si="0"/>
        <v>-2.9155665542930365E-3</v>
      </c>
      <c r="E9" s="625">
        <f>'SONERI-FATR'!C83</f>
        <v>362669.20467435621</v>
      </c>
      <c r="F9" s="118">
        <f>SUM(D9:E9)</f>
        <v>362669.20175878966</v>
      </c>
      <c r="G9" s="118">
        <f t="shared" si="2"/>
        <v>1830354.118843223</v>
      </c>
      <c r="H9" s="626">
        <f>'SONERI-FATR'!C79</f>
        <v>0</v>
      </c>
      <c r="I9" s="118">
        <f t="shared" si="3"/>
        <v>1830354.118843223</v>
      </c>
      <c r="J9" s="86"/>
      <c r="K9" s="573"/>
    </row>
    <row r="10" spans="1:11" x14ac:dyDescent="0.3">
      <c r="A10" s="616" t="s">
        <v>278</v>
      </c>
      <c r="B10" s="618">
        <v>722734.2303386298</v>
      </c>
      <c r="C10" s="620">
        <f>'BOP-RF'!J40</f>
        <v>722734.2303386298</v>
      </c>
      <c r="D10" s="118">
        <f t="shared" si="0"/>
        <v>0</v>
      </c>
      <c r="E10" s="625">
        <f>'BOP-RF'!J44</f>
        <v>482803.25207671215</v>
      </c>
      <c r="F10" s="118">
        <f>SUM(D10:E10)</f>
        <v>482803.25207671215</v>
      </c>
      <c r="G10" s="118">
        <f t="shared" si="2"/>
        <v>1205537.482415342</v>
      </c>
      <c r="H10" s="626">
        <f>'BOP-RF'!J41</f>
        <v>0</v>
      </c>
      <c r="I10" s="118">
        <f t="shared" si="3"/>
        <v>1205537.482415342</v>
      </c>
      <c r="J10" s="86"/>
      <c r="K10" s="573"/>
    </row>
    <row r="11" spans="1:11" x14ac:dyDescent="0.3">
      <c r="A11" s="615" t="s">
        <v>279</v>
      </c>
      <c r="B11" s="617">
        <v>0</v>
      </c>
      <c r="C11" s="620">
        <f>'BOP-FATR'!D74</f>
        <v>0</v>
      </c>
      <c r="D11" s="118">
        <f t="shared" si="0"/>
        <v>0</v>
      </c>
      <c r="E11" s="625">
        <f>'BOP-FATR'!D75</f>
        <v>351764.53976712323</v>
      </c>
      <c r="F11" s="118">
        <f>SUM(D11:E11)</f>
        <v>351764.53976712323</v>
      </c>
      <c r="G11" s="118">
        <f t="shared" si="2"/>
        <v>351764.53976712323</v>
      </c>
      <c r="H11" s="626">
        <f>'BOP-FATR'!D79</f>
        <v>0</v>
      </c>
      <c r="I11" s="118">
        <f t="shared" si="3"/>
        <v>351764.53976712323</v>
      </c>
      <c r="J11" s="86"/>
      <c r="K11" s="573"/>
    </row>
    <row r="12" spans="1:11" x14ac:dyDescent="0.3">
      <c r="A12" s="615" t="s">
        <v>205</v>
      </c>
      <c r="B12" s="619">
        <v>968096.47953439888</v>
      </c>
      <c r="C12" s="620">
        <f>'HBL-RF'!J40</f>
        <v>968096.47953439888</v>
      </c>
      <c r="D12" s="118">
        <f t="shared" si="0"/>
        <v>0</v>
      </c>
      <c r="E12" s="625">
        <f>'HBL-RF'!J44</f>
        <v>466799.38748243859</v>
      </c>
      <c r="F12" s="118">
        <f t="shared" si="1"/>
        <v>466799.38748243859</v>
      </c>
      <c r="G12" s="118">
        <f t="shared" si="2"/>
        <v>1434895.8670168375</v>
      </c>
      <c r="H12" s="626">
        <f>'HBL-RF'!J41</f>
        <v>0</v>
      </c>
      <c r="I12" s="118">
        <f t="shared" si="3"/>
        <v>1434895.8670168375</v>
      </c>
      <c r="J12" s="86"/>
      <c r="K12" s="573"/>
    </row>
    <row r="13" spans="1:11" x14ac:dyDescent="0.3">
      <c r="A13" s="604" t="s">
        <v>206</v>
      </c>
      <c r="B13" s="623">
        <v>0</v>
      </c>
      <c r="C13" s="620">
        <f>'HBL-FATR'!C74</f>
        <v>0</v>
      </c>
      <c r="D13" s="118">
        <f t="shared" si="0"/>
        <v>0</v>
      </c>
      <c r="E13" s="625">
        <f>'HBL-FATR'!C83</f>
        <v>0</v>
      </c>
      <c r="F13" s="118">
        <f t="shared" si="1"/>
        <v>0</v>
      </c>
      <c r="G13" s="118">
        <f>F13+B13</f>
        <v>0</v>
      </c>
      <c r="H13" s="626">
        <f>'HBL-FATR'!C79</f>
        <v>0</v>
      </c>
      <c r="I13" s="118">
        <f t="shared" si="3"/>
        <v>0</v>
      </c>
      <c r="J13" s="86"/>
      <c r="K13" s="573"/>
    </row>
    <row r="14" spans="1:11" x14ac:dyDescent="0.3">
      <c r="A14" s="604" t="s">
        <v>280</v>
      </c>
      <c r="B14" s="623">
        <v>6424759.8693201803</v>
      </c>
      <c r="C14" s="620">
        <f>'ASKARI-FATR'!G74</f>
        <v>6424759.8693201803</v>
      </c>
      <c r="D14" s="118">
        <f>C14-B14</f>
        <v>0</v>
      </c>
      <c r="E14" s="625">
        <f>'ASKARI-FATR'!G83</f>
        <v>4058018.6894473745</v>
      </c>
      <c r="F14" s="118">
        <f>SUM(D14:E14)</f>
        <v>4058018.6894473745</v>
      </c>
      <c r="G14" s="118">
        <f>F14+B14</f>
        <v>10482778.558767555</v>
      </c>
      <c r="H14" s="626">
        <f>'ASKARI-FATR'!G79</f>
        <v>0</v>
      </c>
      <c r="I14" s="118">
        <f>G14-H14</f>
        <v>10482778.558767555</v>
      </c>
      <c r="J14" s="86"/>
      <c r="K14" s="573"/>
    </row>
    <row r="15" spans="1:11" x14ac:dyDescent="0.3">
      <c r="A15" s="604" t="s">
        <v>287</v>
      </c>
      <c r="B15" s="623">
        <v>425630.68493150681</v>
      </c>
      <c r="C15" s="620">
        <f>'NBP-Musawammah'!C74</f>
        <v>425630.68493150681</v>
      </c>
      <c r="D15" s="118">
        <f>C15-B15</f>
        <v>0</v>
      </c>
      <c r="E15" s="625">
        <f>'NBP-Musawammah'!C83</f>
        <v>456032.8767123287</v>
      </c>
      <c r="F15" s="118">
        <f>SUM(D15:E15)</f>
        <v>456032.8767123287</v>
      </c>
      <c r="G15" s="118">
        <f>F15+B15</f>
        <v>881663.56164383551</v>
      </c>
      <c r="H15" s="626">
        <f>'NBP-Musawammah'!C79</f>
        <v>0</v>
      </c>
      <c r="I15" s="118">
        <f>G15-H15</f>
        <v>881663.56164383551</v>
      </c>
      <c r="J15" s="86"/>
      <c r="K15" s="573"/>
    </row>
    <row r="16" spans="1:11" x14ac:dyDescent="0.3">
      <c r="A16" s="604" t="s">
        <v>260</v>
      </c>
      <c r="B16" s="624">
        <v>1374383.9070326025</v>
      </c>
      <c r="C16" s="621">
        <f>'PICL-LT'!J40</f>
        <v>1374383.9070326025</v>
      </c>
      <c r="D16" s="118">
        <f t="shared" si="0"/>
        <v>0</v>
      </c>
      <c r="E16" s="625">
        <f>'PICL-LT'!J44</f>
        <v>1638787.9369972604</v>
      </c>
      <c r="F16" s="118">
        <f t="shared" si="1"/>
        <v>1638787.9369972604</v>
      </c>
      <c r="G16" s="118">
        <f>F16+B16</f>
        <v>3013171.8440298629</v>
      </c>
      <c r="H16" s="629">
        <f>'PICL-LT'!J41</f>
        <v>0</v>
      </c>
      <c r="I16" s="118">
        <f t="shared" si="3"/>
        <v>3013171.8440298629</v>
      </c>
      <c r="J16" s="86"/>
      <c r="K16" s="573"/>
    </row>
    <row r="17" spans="1:10" x14ac:dyDescent="0.3">
      <c r="A17" s="693"/>
      <c r="B17" s="694"/>
      <c r="C17" s="694"/>
      <c r="D17" s="694"/>
      <c r="E17" s="694"/>
      <c r="F17" s="694"/>
      <c r="G17" s="694"/>
      <c r="H17" s="694"/>
      <c r="I17" s="695"/>
      <c r="J17" s="86"/>
    </row>
    <row r="18" spans="1:10" x14ac:dyDescent="0.3">
      <c r="A18" s="317" t="s">
        <v>26</v>
      </c>
      <c r="B18" s="324">
        <f t="shared" ref="B18:I18" si="4">SUM(B5:B16)</f>
        <v>14744421.891407974</v>
      </c>
      <c r="C18" s="324">
        <f t="shared" si="4"/>
        <v>14744421.888492405</v>
      </c>
      <c r="D18" s="324">
        <f t="shared" si="4"/>
        <v>-2.9155665542930365E-3</v>
      </c>
      <c r="E18" s="324">
        <f t="shared" si="4"/>
        <v>10031435.271941382</v>
      </c>
      <c r="F18" s="324">
        <f t="shared" si="4"/>
        <v>10031435.269025816</v>
      </c>
      <c r="G18" s="324">
        <f t="shared" si="4"/>
        <v>24775857.157518223</v>
      </c>
      <c r="H18" s="324">
        <f t="shared" si="4"/>
        <v>0</v>
      </c>
      <c r="I18" s="324">
        <f t="shared" si="4"/>
        <v>24775857.157518223</v>
      </c>
      <c r="J18" s="86"/>
    </row>
    <row r="19" spans="1:10" x14ac:dyDescent="0.3">
      <c r="A19" s="86"/>
      <c r="B19" s="86"/>
      <c r="C19" s="86"/>
      <c r="D19" s="86"/>
      <c r="E19" s="183"/>
      <c r="F19" s="86"/>
      <c r="G19" s="183"/>
      <c r="H19" s="86"/>
      <c r="I19" s="86"/>
      <c r="J19" s="86"/>
    </row>
    <row r="20" spans="1:10" x14ac:dyDescent="0.3">
      <c r="A20" s="273"/>
      <c r="B20" s="274"/>
      <c r="C20" s="274"/>
    </row>
    <row r="21" spans="1:10" x14ac:dyDescent="0.3">
      <c r="A21" s="273"/>
      <c r="B21" s="275"/>
      <c r="C21" s="274"/>
    </row>
    <row r="22" spans="1:10" x14ac:dyDescent="0.3">
      <c r="A22" s="273"/>
      <c r="B22" s="274"/>
      <c r="C22" s="274"/>
    </row>
    <row r="23" spans="1:10" x14ac:dyDescent="0.3">
      <c r="A23" s="273"/>
      <c r="B23" s="274"/>
      <c r="C23" s="274"/>
    </row>
    <row r="24" spans="1:10" x14ac:dyDescent="0.3">
      <c r="A24" s="273"/>
      <c r="B24" s="273"/>
      <c r="C24" s="273"/>
    </row>
  </sheetData>
  <mergeCells count="3">
    <mergeCell ref="A1:I1"/>
    <mergeCell ref="A2:H2"/>
    <mergeCell ref="A17:I17"/>
  </mergeCells>
  <printOptions horizontalCentered="1" verticalCentered="1"/>
  <pageMargins left="0.5" right="0.5" top="0.5" bottom="0.5" header="0.5" footer="0.5"/>
  <pageSetup scale="78" orientation="landscape" r:id="rId1"/>
  <headerFooter alignWithMargins="0">
    <oddFooter>&amp;L&amp;D  ^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D0F25-2EFB-4820-8B08-40CC89F33712}">
  <sheetPr codeName="Sheet17">
    <pageSetUpPr fitToPage="1"/>
  </sheetPr>
  <dimension ref="A1:O160"/>
  <sheetViews>
    <sheetView showGridLines="0" topLeftCell="A23" zoomScaleNormal="100" workbookViewId="0">
      <selection activeCell="B157" sqref="B157"/>
    </sheetView>
  </sheetViews>
  <sheetFormatPr defaultColWidth="10.6328125" defaultRowHeight="13.8" x14ac:dyDescent="0.3"/>
  <cols>
    <col min="1" max="1" width="24.7265625" style="2" customWidth="1"/>
    <col min="2" max="2" width="13.36328125" style="2" bestFit="1" customWidth="1"/>
    <col min="3" max="5" width="12.6328125" style="2" customWidth="1"/>
    <col min="6" max="6" width="2.453125" style="59" customWidth="1"/>
    <col min="7" max="7" width="15.90625" style="2" bestFit="1" customWidth="1"/>
    <col min="8" max="16384" width="10.6328125" style="2"/>
  </cols>
  <sheetData>
    <row r="1" spans="1:11" ht="18" x14ac:dyDescent="0.35">
      <c r="A1" s="6" t="s">
        <v>62</v>
      </c>
      <c r="B1" s="133"/>
      <c r="C1" s="133"/>
      <c r="D1" s="133"/>
      <c r="E1" s="133"/>
      <c r="F1" s="193"/>
      <c r="G1" s="133"/>
    </row>
    <row r="2" spans="1:11" ht="18.600000000000001" thickBot="1" x14ac:dyDescent="0.4">
      <c r="A2" s="7" t="s">
        <v>122</v>
      </c>
      <c r="B2" s="134"/>
      <c r="C2" s="134"/>
      <c r="D2" s="134"/>
      <c r="E2" s="134"/>
      <c r="F2" s="194"/>
      <c r="G2" s="55">
        <f>'FINANCIAL COST SUMMARY'!I2</f>
        <v>44228</v>
      </c>
    </row>
    <row r="3" spans="1:11" x14ac:dyDescent="0.3">
      <c r="A3" s="135" t="s">
        <v>63</v>
      </c>
    </row>
    <row r="4" spans="1:11" ht="15.6" customHeight="1" x14ac:dyDescent="0.3">
      <c r="A4" s="806" t="s">
        <v>4</v>
      </c>
      <c r="B4" s="808"/>
      <c r="C4" s="137"/>
      <c r="D4" s="137"/>
      <c r="E4" s="137"/>
      <c r="F4" s="195"/>
      <c r="G4" s="803" t="s">
        <v>0</v>
      </c>
    </row>
    <row r="5" spans="1:11" ht="23.4" customHeight="1" x14ac:dyDescent="0.3">
      <c r="A5" s="807"/>
      <c r="B5" s="809"/>
      <c r="C5" s="138"/>
      <c r="D5" s="138"/>
      <c r="E5" s="138"/>
      <c r="F5" s="196"/>
      <c r="G5" s="804"/>
    </row>
    <row r="6" spans="1:11" x14ac:dyDescent="0.3">
      <c r="A6" s="5">
        <v>43922</v>
      </c>
      <c r="B6" s="98"/>
      <c r="C6" s="68">
        <v>0</v>
      </c>
      <c r="D6" s="68">
        <v>0</v>
      </c>
      <c r="E6" s="68">
        <v>0</v>
      </c>
      <c r="F6" s="98"/>
      <c r="G6" s="68">
        <f t="shared" ref="G6:G35" si="0">SUM(B6:E6)</f>
        <v>0</v>
      </c>
      <c r="I6" s="104">
        <v>43712</v>
      </c>
      <c r="J6" s="106">
        <v>180</v>
      </c>
      <c r="K6" s="104">
        <f>I6+J6</f>
        <v>43892</v>
      </c>
    </row>
    <row r="7" spans="1:11" x14ac:dyDescent="0.3">
      <c r="A7" s="5">
        <v>43923</v>
      </c>
      <c r="B7" s="98">
        <f>188700-188700</f>
        <v>0</v>
      </c>
      <c r="C7" s="68">
        <f t="shared" ref="C7:E22" si="1">C6</f>
        <v>0</v>
      </c>
      <c r="D7" s="68">
        <f t="shared" si="1"/>
        <v>0</v>
      </c>
      <c r="E7" s="68">
        <f t="shared" si="1"/>
        <v>0</v>
      </c>
      <c r="F7" s="98"/>
      <c r="G7" s="68">
        <f t="shared" si="0"/>
        <v>0</v>
      </c>
    </row>
    <row r="8" spans="1:11" x14ac:dyDescent="0.3">
      <c r="A8" s="5">
        <v>43924</v>
      </c>
      <c r="B8" s="98">
        <f t="shared" ref="B8:B34" si="2">188700-188700</f>
        <v>0</v>
      </c>
      <c r="C8" s="68">
        <f t="shared" si="1"/>
        <v>0</v>
      </c>
      <c r="D8" s="68">
        <f t="shared" si="1"/>
        <v>0</v>
      </c>
      <c r="E8" s="68">
        <f t="shared" si="1"/>
        <v>0</v>
      </c>
      <c r="F8" s="98"/>
      <c r="G8" s="68">
        <f t="shared" si="0"/>
        <v>0</v>
      </c>
    </row>
    <row r="9" spans="1:11" x14ac:dyDescent="0.3">
      <c r="A9" s="5">
        <v>43925</v>
      </c>
      <c r="B9" s="98">
        <f t="shared" si="2"/>
        <v>0</v>
      </c>
      <c r="C9" s="68">
        <f t="shared" si="1"/>
        <v>0</v>
      </c>
      <c r="D9" s="68">
        <f t="shared" si="1"/>
        <v>0</v>
      </c>
      <c r="E9" s="68">
        <f t="shared" si="1"/>
        <v>0</v>
      </c>
      <c r="F9" s="98"/>
      <c r="G9" s="68">
        <f t="shared" si="0"/>
        <v>0</v>
      </c>
    </row>
    <row r="10" spans="1:11" x14ac:dyDescent="0.3">
      <c r="A10" s="5">
        <v>43926</v>
      </c>
      <c r="B10" s="98">
        <f t="shared" si="2"/>
        <v>0</v>
      </c>
      <c r="C10" s="68">
        <f t="shared" si="1"/>
        <v>0</v>
      </c>
      <c r="D10" s="68">
        <f t="shared" si="1"/>
        <v>0</v>
      </c>
      <c r="E10" s="68">
        <f t="shared" si="1"/>
        <v>0</v>
      </c>
      <c r="F10" s="98"/>
      <c r="G10" s="68">
        <f t="shared" si="0"/>
        <v>0</v>
      </c>
    </row>
    <row r="11" spans="1:11" x14ac:dyDescent="0.3">
      <c r="A11" s="5">
        <v>43927</v>
      </c>
      <c r="B11" s="98">
        <f t="shared" si="2"/>
        <v>0</v>
      </c>
      <c r="C11" s="68">
        <f t="shared" si="1"/>
        <v>0</v>
      </c>
      <c r="D11" s="68">
        <f t="shared" si="1"/>
        <v>0</v>
      </c>
      <c r="E11" s="68">
        <f t="shared" si="1"/>
        <v>0</v>
      </c>
      <c r="F11" s="98"/>
      <c r="G11" s="68">
        <f t="shared" si="0"/>
        <v>0</v>
      </c>
    </row>
    <row r="12" spans="1:11" x14ac:dyDescent="0.3">
      <c r="A12" s="5">
        <v>43928</v>
      </c>
      <c r="B12" s="98">
        <f t="shared" si="2"/>
        <v>0</v>
      </c>
      <c r="C12" s="68">
        <f t="shared" si="1"/>
        <v>0</v>
      </c>
      <c r="D12" s="68">
        <f t="shared" si="1"/>
        <v>0</v>
      </c>
      <c r="E12" s="68">
        <f t="shared" si="1"/>
        <v>0</v>
      </c>
      <c r="F12" s="98"/>
      <c r="G12" s="68">
        <f t="shared" si="0"/>
        <v>0</v>
      </c>
    </row>
    <row r="13" spans="1:11" x14ac:dyDescent="0.3">
      <c r="A13" s="5">
        <v>43929</v>
      </c>
      <c r="B13" s="98">
        <f t="shared" si="2"/>
        <v>0</v>
      </c>
      <c r="C13" s="68">
        <f t="shared" si="1"/>
        <v>0</v>
      </c>
      <c r="D13" s="68">
        <f t="shared" si="1"/>
        <v>0</v>
      </c>
      <c r="E13" s="68">
        <f t="shared" si="1"/>
        <v>0</v>
      </c>
      <c r="F13" s="98"/>
      <c r="G13" s="68">
        <f t="shared" si="0"/>
        <v>0</v>
      </c>
    </row>
    <row r="14" spans="1:11" x14ac:dyDescent="0.3">
      <c r="A14" s="5">
        <v>43930</v>
      </c>
      <c r="B14" s="98">
        <f t="shared" si="2"/>
        <v>0</v>
      </c>
      <c r="C14" s="68">
        <f t="shared" si="1"/>
        <v>0</v>
      </c>
      <c r="D14" s="68">
        <f t="shared" si="1"/>
        <v>0</v>
      </c>
      <c r="E14" s="68">
        <f t="shared" si="1"/>
        <v>0</v>
      </c>
      <c r="F14" s="98"/>
      <c r="G14" s="68">
        <f t="shared" si="0"/>
        <v>0</v>
      </c>
    </row>
    <row r="15" spans="1:11" x14ac:dyDescent="0.3">
      <c r="A15" s="5">
        <v>43931</v>
      </c>
      <c r="B15" s="98">
        <f t="shared" si="2"/>
        <v>0</v>
      </c>
      <c r="C15" s="68">
        <f t="shared" si="1"/>
        <v>0</v>
      </c>
      <c r="D15" s="68">
        <f t="shared" si="1"/>
        <v>0</v>
      </c>
      <c r="E15" s="68">
        <f t="shared" si="1"/>
        <v>0</v>
      </c>
      <c r="F15" s="98"/>
      <c r="G15" s="68">
        <f t="shared" si="0"/>
        <v>0</v>
      </c>
    </row>
    <row r="16" spans="1:11" x14ac:dyDescent="0.3">
      <c r="A16" s="5">
        <v>43932</v>
      </c>
      <c r="B16" s="98">
        <f t="shared" si="2"/>
        <v>0</v>
      </c>
      <c r="C16" s="68">
        <f t="shared" si="1"/>
        <v>0</v>
      </c>
      <c r="D16" s="68">
        <f t="shared" si="1"/>
        <v>0</v>
      </c>
      <c r="E16" s="68">
        <f t="shared" si="1"/>
        <v>0</v>
      </c>
      <c r="F16" s="98"/>
      <c r="G16" s="68">
        <f t="shared" si="0"/>
        <v>0</v>
      </c>
    </row>
    <row r="17" spans="1:7" x14ac:dyDescent="0.3">
      <c r="A17" s="5">
        <v>43933</v>
      </c>
      <c r="B17" s="98">
        <f t="shared" si="2"/>
        <v>0</v>
      </c>
      <c r="C17" s="68">
        <f t="shared" si="1"/>
        <v>0</v>
      </c>
      <c r="D17" s="68">
        <f t="shared" si="1"/>
        <v>0</v>
      </c>
      <c r="E17" s="68">
        <f t="shared" si="1"/>
        <v>0</v>
      </c>
      <c r="F17" s="98"/>
      <c r="G17" s="68">
        <f t="shared" si="0"/>
        <v>0</v>
      </c>
    </row>
    <row r="18" spans="1:7" x14ac:dyDescent="0.3">
      <c r="A18" s="5">
        <v>43934</v>
      </c>
      <c r="B18" s="98">
        <f t="shared" si="2"/>
        <v>0</v>
      </c>
      <c r="C18" s="68">
        <f t="shared" si="1"/>
        <v>0</v>
      </c>
      <c r="D18" s="68">
        <f t="shared" si="1"/>
        <v>0</v>
      </c>
      <c r="E18" s="68">
        <f t="shared" si="1"/>
        <v>0</v>
      </c>
      <c r="F18" s="98"/>
      <c r="G18" s="68">
        <f t="shared" si="0"/>
        <v>0</v>
      </c>
    </row>
    <row r="19" spans="1:7" x14ac:dyDescent="0.3">
      <c r="A19" s="5">
        <v>43935</v>
      </c>
      <c r="B19" s="98">
        <f t="shared" si="2"/>
        <v>0</v>
      </c>
      <c r="C19" s="68">
        <f t="shared" si="1"/>
        <v>0</v>
      </c>
      <c r="D19" s="68">
        <f t="shared" si="1"/>
        <v>0</v>
      </c>
      <c r="E19" s="68">
        <f t="shared" si="1"/>
        <v>0</v>
      </c>
      <c r="F19" s="98"/>
      <c r="G19" s="68">
        <f t="shared" si="0"/>
        <v>0</v>
      </c>
    </row>
    <row r="20" spans="1:7" x14ac:dyDescent="0.3">
      <c r="A20" s="5">
        <v>43936</v>
      </c>
      <c r="B20" s="98">
        <f t="shared" si="2"/>
        <v>0</v>
      </c>
      <c r="C20" s="68">
        <f t="shared" si="1"/>
        <v>0</v>
      </c>
      <c r="D20" s="68">
        <f t="shared" si="1"/>
        <v>0</v>
      </c>
      <c r="E20" s="68">
        <f t="shared" si="1"/>
        <v>0</v>
      </c>
      <c r="F20" s="98"/>
      <c r="G20" s="68">
        <f t="shared" si="0"/>
        <v>0</v>
      </c>
    </row>
    <row r="21" spans="1:7" x14ac:dyDescent="0.3">
      <c r="A21" s="5">
        <v>43937</v>
      </c>
      <c r="B21" s="98">
        <f t="shared" si="2"/>
        <v>0</v>
      </c>
      <c r="C21" s="68">
        <f t="shared" si="1"/>
        <v>0</v>
      </c>
      <c r="D21" s="68">
        <f t="shared" si="1"/>
        <v>0</v>
      </c>
      <c r="E21" s="68">
        <f t="shared" si="1"/>
        <v>0</v>
      </c>
      <c r="F21" s="98"/>
      <c r="G21" s="68">
        <f t="shared" si="0"/>
        <v>0</v>
      </c>
    </row>
    <row r="22" spans="1:7" x14ac:dyDescent="0.3">
      <c r="A22" s="5">
        <v>43938</v>
      </c>
      <c r="B22" s="98">
        <f t="shared" si="2"/>
        <v>0</v>
      </c>
      <c r="C22" s="68">
        <f t="shared" si="1"/>
        <v>0</v>
      </c>
      <c r="D22" s="68">
        <f t="shared" si="1"/>
        <v>0</v>
      </c>
      <c r="E22" s="68">
        <f t="shared" si="1"/>
        <v>0</v>
      </c>
      <c r="F22" s="98"/>
      <c r="G22" s="68">
        <f t="shared" si="0"/>
        <v>0</v>
      </c>
    </row>
    <row r="23" spans="1:7" x14ac:dyDescent="0.3">
      <c r="A23" s="5">
        <v>43939</v>
      </c>
      <c r="B23" s="98">
        <f t="shared" si="2"/>
        <v>0</v>
      </c>
      <c r="C23" s="68">
        <f t="shared" ref="C23:E34" si="3">C22</f>
        <v>0</v>
      </c>
      <c r="D23" s="68">
        <f t="shared" si="3"/>
        <v>0</v>
      </c>
      <c r="E23" s="68">
        <f t="shared" si="3"/>
        <v>0</v>
      </c>
      <c r="F23" s="98"/>
      <c r="G23" s="68">
        <f t="shared" si="0"/>
        <v>0</v>
      </c>
    </row>
    <row r="24" spans="1:7" x14ac:dyDescent="0.3">
      <c r="A24" s="5">
        <v>43940</v>
      </c>
      <c r="B24" s="98">
        <f t="shared" si="2"/>
        <v>0</v>
      </c>
      <c r="C24" s="68">
        <f t="shared" si="3"/>
        <v>0</v>
      </c>
      <c r="D24" s="68">
        <f t="shared" si="3"/>
        <v>0</v>
      </c>
      <c r="E24" s="68">
        <f t="shared" si="3"/>
        <v>0</v>
      </c>
      <c r="F24" s="98"/>
      <c r="G24" s="68">
        <f t="shared" si="0"/>
        <v>0</v>
      </c>
    </row>
    <row r="25" spans="1:7" x14ac:dyDescent="0.3">
      <c r="A25" s="5">
        <v>43941</v>
      </c>
      <c r="B25" s="98">
        <f t="shared" si="2"/>
        <v>0</v>
      </c>
      <c r="C25" s="68">
        <f t="shared" si="3"/>
        <v>0</v>
      </c>
      <c r="D25" s="68">
        <f t="shared" si="3"/>
        <v>0</v>
      </c>
      <c r="E25" s="68">
        <f t="shared" si="3"/>
        <v>0</v>
      </c>
      <c r="F25" s="98"/>
      <c r="G25" s="68">
        <f t="shared" si="0"/>
        <v>0</v>
      </c>
    </row>
    <row r="26" spans="1:7" x14ac:dyDescent="0.3">
      <c r="A26" s="5">
        <v>43942</v>
      </c>
      <c r="B26" s="98">
        <f t="shared" si="2"/>
        <v>0</v>
      </c>
      <c r="C26" s="68">
        <f t="shared" si="3"/>
        <v>0</v>
      </c>
      <c r="D26" s="68">
        <f t="shared" si="3"/>
        <v>0</v>
      </c>
      <c r="E26" s="68">
        <f t="shared" si="3"/>
        <v>0</v>
      </c>
      <c r="F26" s="98"/>
      <c r="G26" s="68">
        <f t="shared" si="0"/>
        <v>0</v>
      </c>
    </row>
    <row r="27" spans="1:7" x14ac:dyDescent="0.3">
      <c r="A27" s="5">
        <v>43943</v>
      </c>
      <c r="B27" s="98">
        <f t="shared" si="2"/>
        <v>0</v>
      </c>
      <c r="C27" s="68">
        <f t="shared" si="3"/>
        <v>0</v>
      </c>
      <c r="D27" s="68">
        <f t="shared" si="3"/>
        <v>0</v>
      </c>
      <c r="E27" s="68">
        <f t="shared" si="3"/>
        <v>0</v>
      </c>
      <c r="F27" s="98"/>
      <c r="G27" s="68">
        <f t="shared" si="0"/>
        <v>0</v>
      </c>
    </row>
    <row r="28" spans="1:7" x14ac:dyDescent="0.3">
      <c r="A28" s="5">
        <v>43944</v>
      </c>
      <c r="B28" s="98">
        <f t="shared" si="2"/>
        <v>0</v>
      </c>
      <c r="C28" s="68">
        <f t="shared" si="3"/>
        <v>0</v>
      </c>
      <c r="D28" s="68">
        <f t="shared" si="3"/>
        <v>0</v>
      </c>
      <c r="E28" s="68">
        <f t="shared" si="3"/>
        <v>0</v>
      </c>
      <c r="F28" s="98"/>
      <c r="G28" s="68">
        <f t="shared" si="0"/>
        <v>0</v>
      </c>
    </row>
    <row r="29" spans="1:7" x14ac:dyDescent="0.3">
      <c r="A29" s="5">
        <v>43945</v>
      </c>
      <c r="B29" s="98">
        <f t="shared" si="2"/>
        <v>0</v>
      </c>
      <c r="C29" s="68">
        <f t="shared" si="3"/>
        <v>0</v>
      </c>
      <c r="D29" s="68">
        <f t="shared" si="3"/>
        <v>0</v>
      </c>
      <c r="E29" s="68">
        <f t="shared" si="3"/>
        <v>0</v>
      </c>
      <c r="F29" s="98"/>
      <c r="G29" s="68">
        <f t="shared" si="0"/>
        <v>0</v>
      </c>
    </row>
    <row r="30" spans="1:7" x14ac:dyDescent="0.3">
      <c r="A30" s="5">
        <v>43946</v>
      </c>
      <c r="B30" s="98">
        <f t="shared" si="2"/>
        <v>0</v>
      </c>
      <c r="C30" s="68">
        <f t="shared" si="3"/>
        <v>0</v>
      </c>
      <c r="D30" s="68">
        <f t="shared" si="3"/>
        <v>0</v>
      </c>
      <c r="E30" s="68">
        <f t="shared" si="3"/>
        <v>0</v>
      </c>
      <c r="F30" s="98"/>
      <c r="G30" s="68">
        <f t="shared" si="0"/>
        <v>0</v>
      </c>
    </row>
    <row r="31" spans="1:7" x14ac:dyDescent="0.3">
      <c r="A31" s="5">
        <v>43947</v>
      </c>
      <c r="B31" s="98">
        <f t="shared" si="2"/>
        <v>0</v>
      </c>
      <c r="C31" s="68">
        <f t="shared" si="3"/>
        <v>0</v>
      </c>
      <c r="D31" s="68">
        <f t="shared" si="3"/>
        <v>0</v>
      </c>
      <c r="E31" s="68">
        <f t="shared" si="3"/>
        <v>0</v>
      </c>
      <c r="F31" s="98"/>
      <c r="G31" s="68">
        <f t="shared" si="0"/>
        <v>0</v>
      </c>
    </row>
    <row r="32" spans="1:7" x14ac:dyDescent="0.3">
      <c r="A32" s="5">
        <v>43948</v>
      </c>
      <c r="B32" s="98">
        <f t="shared" si="2"/>
        <v>0</v>
      </c>
      <c r="C32" s="68">
        <f t="shared" si="3"/>
        <v>0</v>
      </c>
      <c r="D32" s="68">
        <f t="shared" si="3"/>
        <v>0</v>
      </c>
      <c r="E32" s="68">
        <f t="shared" si="3"/>
        <v>0</v>
      </c>
      <c r="F32" s="98"/>
      <c r="G32" s="68">
        <f t="shared" si="0"/>
        <v>0</v>
      </c>
    </row>
    <row r="33" spans="1:7" x14ac:dyDescent="0.3">
      <c r="A33" s="5">
        <v>43949</v>
      </c>
      <c r="B33" s="98">
        <f t="shared" si="2"/>
        <v>0</v>
      </c>
      <c r="C33" s="68">
        <f t="shared" si="3"/>
        <v>0</v>
      </c>
      <c r="D33" s="68">
        <f t="shared" si="3"/>
        <v>0</v>
      </c>
      <c r="E33" s="68">
        <f t="shared" si="3"/>
        <v>0</v>
      </c>
      <c r="F33" s="98"/>
      <c r="G33" s="68">
        <f t="shared" si="0"/>
        <v>0</v>
      </c>
    </row>
    <row r="34" spans="1:7" x14ac:dyDescent="0.3">
      <c r="A34" s="5">
        <v>43950</v>
      </c>
      <c r="B34" s="98">
        <f t="shared" si="2"/>
        <v>0</v>
      </c>
      <c r="C34" s="68">
        <f t="shared" si="3"/>
        <v>0</v>
      </c>
      <c r="D34" s="68">
        <f t="shared" si="3"/>
        <v>0</v>
      </c>
      <c r="E34" s="68">
        <f t="shared" si="3"/>
        <v>0</v>
      </c>
      <c r="F34" s="98"/>
      <c r="G34" s="68">
        <f t="shared" si="0"/>
        <v>0</v>
      </c>
    </row>
    <row r="35" spans="1:7" x14ac:dyDescent="0.3">
      <c r="A35" s="5">
        <v>43951</v>
      </c>
      <c r="B35" s="98"/>
      <c r="C35" s="98"/>
      <c r="D35" s="98"/>
      <c r="E35" s="98"/>
      <c r="F35" s="98"/>
      <c r="G35" s="68">
        <f t="shared" si="0"/>
        <v>0</v>
      </c>
    </row>
    <row r="36" spans="1:7" x14ac:dyDescent="0.3">
      <c r="A36" s="214"/>
      <c r="B36" s="215"/>
      <c r="C36" s="215"/>
      <c r="D36" s="215"/>
      <c r="E36" s="215"/>
      <c r="F36" s="98"/>
      <c r="G36" s="215"/>
    </row>
    <row r="37" spans="1:7" x14ac:dyDescent="0.3">
      <c r="A37" s="139"/>
    </row>
    <row r="38" spans="1:7" ht="15.6" customHeight="1" x14ac:dyDescent="0.3">
      <c r="A38" s="810" t="s">
        <v>4</v>
      </c>
      <c r="B38" s="801">
        <f>B4</f>
        <v>0</v>
      </c>
      <c r="C38" s="137">
        <f t="shared" ref="C38:E39" si="4">C4</f>
        <v>0</v>
      </c>
      <c r="D38" s="137">
        <f t="shared" si="4"/>
        <v>0</v>
      </c>
      <c r="E38" s="137">
        <f t="shared" si="4"/>
        <v>0</v>
      </c>
      <c r="F38" s="195"/>
      <c r="G38" s="803" t="s">
        <v>0</v>
      </c>
    </row>
    <row r="39" spans="1:7" ht="25.8" customHeight="1" x14ac:dyDescent="0.3">
      <c r="A39" s="810"/>
      <c r="B39" s="802"/>
      <c r="C39" s="138">
        <f t="shared" si="4"/>
        <v>0</v>
      </c>
      <c r="D39" s="138">
        <f t="shared" si="4"/>
        <v>0</v>
      </c>
      <c r="E39" s="138">
        <f t="shared" si="4"/>
        <v>0</v>
      </c>
      <c r="F39" s="196"/>
      <c r="G39" s="804"/>
    </row>
    <row r="40" spans="1:7" x14ac:dyDescent="0.3">
      <c r="A40" s="140" t="s">
        <v>64</v>
      </c>
      <c r="B40" s="190">
        <v>156.6267</v>
      </c>
      <c r="C40" s="141"/>
      <c r="D40" s="141"/>
      <c r="E40" s="141"/>
      <c r="F40" s="197"/>
      <c r="G40" s="141"/>
    </row>
    <row r="41" spans="1:7" x14ac:dyDescent="0.3">
      <c r="A41" s="5">
        <f t="shared" ref="A41:A70" si="5">A6</f>
        <v>43922</v>
      </c>
      <c r="B41" s="142">
        <f t="shared" ref="B41:E56" si="6">B6*B$40</f>
        <v>0</v>
      </c>
      <c r="C41" s="142">
        <f t="shared" si="6"/>
        <v>0</v>
      </c>
      <c r="D41" s="142">
        <f t="shared" si="6"/>
        <v>0</v>
      </c>
      <c r="E41" s="142">
        <f t="shared" si="6"/>
        <v>0</v>
      </c>
      <c r="F41" s="198"/>
      <c r="G41" s="68">
        <f t="shared" ref="G41:G70" si="7">SUM(B41:E41)</f>
        <v>0</v>
      </c>
    </row>
    <row r="42" spans="1:7" x14ac:dyDescent="0.3">
      <c r="A42" s="5">
        <f t="shared" si="5"/>
        <v>43923</v>
      </c>
      <c r="B42" s="142">
        <f t="shared" si="6"/>
        <v>0</v>
      </c>
      <c r="C42" s="142">
        <f t="shared" si="6"/>
        <v>0</v>
      </c>
      <c r="D42" s="142">
        <f t="shared" si="6"/>
        <v>0</v>
      </c>
      <c r="E42" s="142">
        <f t="shared" si="6"/>
        <v>0</v>
      </c>
      <c r="F42" s="198"/>
      <c r="G42" s="68">
        <f t="shared" si="7"/>
        <v>0</v>
      </c>
    </row>
    <row r="43" spans="1:7" x14ac:dyDescent="0.3">
      <c r="A43" s="5">
        <f t="shared" si="5"/>
        <v>43924</v>
      </c>
      <c r="B43" s="142">
        <f t="shared" si="6"/>
        <v>0</v>
      </c>
      <c r="C43" s="142">
        <f t="shared" si="6"/>
        <v>0</v>
      </c>
      <c r="D43" s="142">
        <f t="shared" si="6"/>
        <v>0</v>
      </c>
      <c r="E43" s="142">
        <f t="shared" si="6"/>
        <v>0</v>
      </c>
      <c r="F43" s="198"/>
      <c r="G43" s="68">
        <f t="shared" si="7"/>
        <v>0</v>
      </c>
    </row>
    <row r="44" spans="1:7" x14ac:dyDescent="0.3">
      <c r="A44" s="5">
        <f t="shared" si="5"/>
        <v>43925</v>
      </c>
      <c r="B44" s="142">
        <f t="shared" si="6"/>
        <v>0</v>
      </c>
      <c r="C44" s="142">
        <f t="shared" si="6"/>
        <v>0</v>
      </c>
      <c r="D44" s="142">
        <f t="shared" si="6"/>
        <v>0</v>
      </c>
      <c r="E44" s="142">
        <f t="shared" si="6"/>
        <v>0</v>
      </c>
      <c r="F44" s="198"/>
      <c r="G44" s="68">
        <f t="shared" si="7"/>
        <v>0</v>
      </c>
    </row>
    <row r="45" spans="1:7" x14ac:dyDescent="0.3">
      <c r="A45" s="5">
        <f t="shared" si="5"/>
        <v>43926</v>
      </c>
      <c r="B45" s="142">
        <f t="shared" si="6"/>
        <v>0</v>
      </c>
      <c r="C45" s="142">
        <f t="shared" si="6"/>
        <v>0</v>
      </c>
      <c r="D45" s="142">
        <f t="shared" si="6"/>
        <v>0</v>
      </c>
      <c r="E45" s="142">
        <f t="shared" si="6"/>
        <v>0</v>
      </c>
      <c r="F45" s="198"/>
      <c r="G45" s="68">
        <f t="shared" si="7"/>
        <v>0</v>
      </c>
    </row>
    <row r="46" spans="1:7" x14ac:dyDescent="0.3">
      <c r="A46" s="5">
        <f t="shared" si="5"/>
        <v>43927</v>
      </c>
      <c r="B46" s="142">
        <f t="shared" si="6"/>
        <v>0</v>
      </c>
      <c r="C46" s="142">
        <f t="shared" si="6"/>
        <v>0</v>
      </c>
      <c r="D46" s="142">
        <f t="shared" si="6"/>
        <v>0</v>
      </c>
      <c r="E46" s="142">
        <f t="shared" si="6"/>
        <v>0</v>
      </c>
      <c r="F46" s="198"/>
      <c r="G46" s="68">
        <f t="shared" si="7"/>
        <v>0</v>
      </c>
    </row>
    <row r="47" spans="1:7" x14ac:dyDescent="0.3">
      <c r="A47" s="5">
        <f t="shared" si="5"/>
        <v>43928</v>
      </c>
      <c r="B47" s="142">
        <f t="shared" si="6"/>
        <v>0</v>
      </c>
      <c r="C47" s="142">
        <f t="shared" si="6"/>
        <v>0</v>
      </c>
      <c r="D47" s="142">
        <f t="shared" si="6"/>
        <v>0</v>
      </c>
      <c r="E47" s="142">
        <f t="shared" si="6"/>
        <v>0</v>
      </c>
      <c r="F47" s="198"/>
      <c r="G47" s="68">
        <f t="shared" si="7"/>
        <v>0</v>
      </c>
    </row>
    <row r="48" spans="1:7" x14ac:dyDescent="0.3">
      <c r="A48" s="5">
        <f t="shared" si="5"/>
        <v>43929</v>
      </c>
      <c r="B48" s="142">
        <f t="shared" si="6"/>
        <v>0</v>
      </c>
      <c r="C48" s="142">
        <f t="shared" si="6"/>
        <v>0</v>
      </c>
      <c r="D48" s="142">
        <f t="shared" si="6"/>
        <v>0</v>
      </c>
      <c r="E48" s="142">
        <f t="shared" si="6"/>
        <v>0</v>
      </c>
      <c r="F48" s="198"/>
      <c r="G48" s="68">
        <f t="shared" si="7"/>
        <v>0</v>
      </c>
    </row>
    <row r="49" spans="1:7" x14ac:dyDescent="0.3">
      <c r="A49" s="5">
        <f t="shared" si="5"/>
        <v>43930</v>
      </c>
      <c r="B49" s="142">
        <f t="shared" si="6"/>
        <v>0</v>
      </c>
      <c r="C49" s="142">
        <f t="shared" si="6"/>
        <v>0</v>
      </c>
      <c r="D49" s="142">
        <f t="shared" si="6"/>
        <v>0</v>
      </c>
      <c r="E49" s="142">
        <f t="shared" si="6"/>
        <v>0</v>
      </c>
      <c r="F49" s="198"/>
      <c r="G49" s="68">
        <f t="shared" si="7"/>
        <v>0</v>
      </c>
    </row>
    <row r="50" spans="1:7" x14ac:dyDescent="0.3">
      <c r="A50" s="5">
        <f t="shared" si="5"/>
        <v>43931</v>
      </c>
      <c r="B50" s="142">
        <f t="shared" si="6"/>
        <v>0</v>
      </c>
      <c r="C50" s="142">
        <f t="shared" si="6"/>
        <v>0</v>
      </c>
      <c r="D50" s="142">
        <f t="shared" si="6"/>
        <v>0</v>
      </c>
      <c r="E50" s="142">
        <f t="shared" si="6"/>
        <v>0</v>
      </c>
      <c r="F50" s="198"/>
      <c r="G50" s="68">
        <f t="shared" si="7"/>
        <v>0</v>
      </c>
    </row>
    <row r="51" spans="1:7" x14ac:dyDescent="0.3">
      <c r="A51" s="5">
        <f t="shared" si="5"/>
        <v>43932</v>
      </c>
      <c r="B51" s="142">
        <f t="shared" si="6"/>
        <v>0</v>
      </c>
      <c r="C51" s="142">
        <f t="shared" si="6"/>
        <v>0</v>
      </c>
      <c r="D51" s="142">
        <f t="shared" si="6"/>
        <v>0</v>
      </c>
      <c r="E51" s="142">
        <f t="shared" si="6"/>
        <v>0</v>
      </c>
      <c r="F51" s="198"/>
      <c r="G51" s="68">
        <f t="shared" si="7"/>
        <v>0</v>
      </c>
    </row>
    <row r="52" spans="1:7" x14ac:dyDescent="0.3">
      <c r="A52" s="5">
        <f t="shared" si="5"/>
        <v>43933</v>
      </c>
      <c r="B52" s="142">
        <f t="shared" si="6"/>
        <v>0</v>
      </c>
      <c r="C52" s="142">
        <f t="shared" si="6"/>
        <v>0</v>
      </c>
      <c r="D52" s="142">
        <f t="shared" si="6"/>
        <v>0</v>
      </c>
      <c r="E52" s="142">
        <f t="shared" si="6"/>
        <v>0</v>
      </c>
      <c r="F52" s="198"/>
      <c r="G52" s="68">
        <f t="shared" si="7"/>
        <v>0</v>
      </c>
    </row>
    <row r="53" spans="1:7" x14ac:dyDescent="0.3">
      <c r="A53" s="5">
        <f t="shared" si="5"/>
        <v>43934</v>
      </c>
      <c r="B53" s="142">
        <f t="shared" si="6"/>
        <v>0</v>
      </c>
      <c r="C53" s="142">
        <f t="shared" si="6"/>
        <v>0</v>
      </c>
      <c r="D53" s="142">
        <f t="shared" si="6"/>
        <v>0</v>
      </c>
      <c r="E53" s="142">
        <f t="shared" si="6"/>
        <v>0</v>
      </c>
      <c r="F53" s="198"/>
      <c r="G53" s="68">
        <f t="shared" si="7"/>
        <v>0</v>
      </c>
    </row>
    <row r="54" spans="1:7" x14ac:dyDescent="0.3">
      <c r="A54" s="5">
        <f t="shared" si="5"/>
        <v>43935</v>
      </c>
      <c r="B54" s="142">
        <f t="shared" si="6"/>
        <v>0</v>
      </c>
      <c r="C54" s="142">
        <f t="shared" si="6"/>
        <v>0</v>
      </c>
      <c r="D54" s="142">
        <f t="shared" si="6"/>
        <v>0</v>
      </c>
      <c r="E54" s="142">
        <f t="shared" si="6"/>
        <v>0</v>
      </c>
      <c r="F54" s="198"/>
      <c r="G54" s="68">
        <f t="shared" si="7"/>
        <v>0</v>
      </c>
    </row>
    <row r="55" spans="1:7" x14ac:dyDescent="0.3">
      <c r="A55" s="5">
        <f t="shared" si="5"/>
        <v>43936</v>
      </c>
      <c r="B55" s="142">
        <f t="shared" si="6"/>
        <v>0</v>
      </c>
      <c r="C55" s="142">
        <f t="shared" si="6"/>
        <v>0</v>
      </c>
      <c r="D55" s="142">
        <f t="shared" si="6"/>
        <v>0</v>
      </c>
      <c r="E55" s="142">
        <f t="shared" si="6"/>
        <v>0</v>
      </c>
      <c r="F55" s="198"/>
      <c r="G55" s="68">
        <f t="shared" si="7"/>
        <v>0</v>
      </c>
    </row>
    <row r="56" spans="1:7" x14ac:dyDescent="0.3">
      <c r="A56" s="5">
        <f t="shared" si="5"/>
        <v>43937</v>
      </c>
      <c r="B56" s="142">
        <f t="shared" si="6"/>
        <v>0</v>
      </c>
      <c r="C56" s="142">
        <f t="shared" si="6"/>
        <v>0</v>
      </c>
      <c r="D56" s="142">
        <f t="shared" si="6"/>
        <v>0</v>
      </c>
      <c r="E56" s="142">
        <f t="shared" si="6"/>
        <v>0</v>
      </c>
      <c r="F56" s="198"/>
      <c r="G56" s="68">
        <f t="shared" si="7"/>
        <v>0</v>
      </c>
    </row>
    <row r="57" spans="1:7" x14ac:dyDescent="0.3">
      <c r="A57" s="5">
        <f t="shared" si="5"/>
        <v>43938</v>
      </c>
      <c r="B57" s="142">
        <f t="shared" ref="B57:E69" si="8">B22*B$40</f>
        <v>0</v>
      </c>
      <c r="C57" s="142">
        <f t="shared" si="8"/>
        <v>0</v>
      </c>
      <c r="D57" s="142">
        <f t="shared" si="8"/>
        <v>0</v>
      </c>
      <c r="E57" s="142">
        <f t="shared" si="8"/>
        <v>0</v>
      </c>
      <c r="F57" s="198"/>
      <c r="G57" s="68">
        <f t="shared" si="7"/>
        <v>0</v>
      </c>
    </row>
    <row r="58" spans="1:7" x14ac:dyDescent="0.3">
      <c r="A58" s="5">
        <f t="shared" si="5"/>
        <v>43939</v>
      </c>
      <c r="B58" s="142">
        <f t="shared" si="8"/>
        <v>0</v>
      </c>
      <c r="C58" s="142">
        <f t="shared" si="8"/>
        <v>0</v>
      </c>
      <c r="D58" s="142">
        <f t="shared" si="8"/>
        <v>0</v>
      </c>
      <c r="E58" s="142">
        <f t="shared" si="8"/>
        <v>0</v>
      </c>
      <c r="F58" s="198"/>
      <c r="G58" s="68">
        <f t="shared" si="7"/>
        <v>0</v>
      </c>
    </row>
    <row r="59" spans="1:7" x14ac:dyDescent="0.3">
      <c r="A59" s="5">
        <f t="shared" si="5"/>
        <v>43940</v>
      </c>
      <c r="B59" s="142">
        <f t="shared" si="8"/>
        <v>0</v>
      </c>
      <c r="C59" s="142">
        <f t="shared" si="8"/>
        <v>0</v>
      </c>
      <c r="D59" s="142">
        <f t="shared" si="8"/>
        <v>0</v>
      </c>
      <c r="E59" s="142">
        <f t="shared" si="8"/>
        <v>0</v>
      </c>
      <c r="F59" s="198"/>
      <c r="G59" s="68">
        <f t="shared" si="7"/>
        <v>0</v>
      </c>
    </row>
    <row r="60" spans="1:7" x14ac:dyDescent="0.3">
      <c r="A60" s="5">
        <f t="shared" si="5"/>
        <v>43941</v>
      </c>
      <c r="B60" s="142">
        <f t="shared" si="8"/>
        <v>0</v>
      </c>
      <c r="C60" s="142">
        <f t="shared" si="8"/>
        <v>0</v>
      </c>
      <c r="D60" s="142">
        <f t="shared" si="8"/>
        <v>0</v>
      </c>
      <c r="E60" s="142">
        <f t="shared" si="8"/>
        <v>0</v>
      </c>
      <c r="F60" s="198"/>
      <c r="G60" s="68">
        <f t="shared" si="7"/>
        <v>0</v>
      </c>
    </row>
    <row r="61" spans="1:7" x14ac:dyDescent="0.3">
      <c r="A61" s="5">
        <f t="shared" si="5"/>
        <v>43942</v>
      </c>
      <c r="B61" s="142">
        <f t="shared" si="8"/>
        <v>0</v>
      </c>
      <c r="C61" s="142">
        <f t="shared" si="8"/>
        <v>0</v>
      </c>
      <c r="D61" s="142">
        <f t="shared" si="8"/>
        <v>0</v>
      </c>
      <c r="E61" s="142">
        <f t="shared" si="8"/>
        <v>0</v>
      </c>
      <c r="F61" s="198"/>
      <c r="G61" s="68">
        <f t="shared" si="7"/>
        <v>0</v>
      </c>
    </row>
    <row r="62" spans="1:7" x14ac:dyDescent="0.3">
      <c r="A62" s="5">
        <f t="shared" si="5"/>
        <v>43943</v>
      </c>
      <c r="B62" s="142">
        <f t="shared" si="8"/>
        <v>0</v>
      </c>
      <c r="C62" s="142">
        <f t="shared" si="8"/>
        <v>0</v>
      </c>
      <c r="D62" s="142">
        <f t="shared" si="8"/>
        <v>0</v>
      </c>
      <c r="E62" s="142">
        <f t="shared" si="8"/>
        <v>0</v>
      </c>
      <c r="F62" s="198"/>
      <c r="G62" s="68">
        <f t="shared" si="7"/>
        <v>0</v>
      </c>
    </row>
    <row r="63" spans="1:7" x14ac:dyDescent="0.3">
      <c r="A63" s="5">
        <f t="shared" si="5"/>
        <v>43944</v>
      </c>
      <c r="B63" s="142">
        <f t="shared" si="8"/>
        <v>0</v>
      </c>
      <c r="C63" s="142">
        <f t="shared" si="8"/>
        <v>0</v>
      </c>
      <c r="D63" s="142">
        <f t="shared" si="8"/>
        <v>0</v>
      </c>
      <c r="E63" s="142">
        <f t="shared" si="8"/>
        <v>0</v>
      </c>
      <c r="F63" s="198"/>
      <c r="G63" s="68">
        <f t="shared" si="7"/>
        <v>0</v>
      </c>
    </row>
    <row r="64" spans="1:7" x14ac:dyDescent="0.3">
      <c r="A64" s="5">
        <f t="shared" si="5"/>
        <v>43945</v>
      </c>
      <c r="B64" s="142">
        <f t="shared" si="8"/>
        <v>0</v>
      </c>
      <c r="C64" s="142">
        <f t="shared" si="8"/>
        <v>0</v>
      </c>
      <c r="D64" s="142">
        <f t="shared" si="8"/>
        <v>0</v>
      </c>
      <c r="E64" s="142">
        <f t="shared" si="8"/>
        <v>0</v>
      </c>
      <c r="F64" s="198"/>
      <c r="G64" s="68">
        <f t="shared" si="7"/>
        <v>0</v>
      </c>
    </row>
    <row r="65" spans="1:7" x14ac:dyDescent="0.3">
      <c r="A65" s="5">
        <f t="shared" si="5"/>
        <v>43946</v>
      </c>
      <c r="B65" s="142">
        <f t="shared" si="8"/>
        <v>0</v>
      </c>
      <c r="C65" s="142">
        <f t="shared" si="8"/>
        <v>0</v>
      </c>
      <c r="D65" s="142">
        <f t="shared" si="8"/>
        <v>0</v>
      </c>
      <c r="E65" s="142">
        <f t="shared" si="8"/>
        <v>0</v>
      </c>
      <c r="F65" s="198"/>
      <c r="G65" s="68">
        <f t="shared" si="7"/>
        <v>0</v>
      </c>
    </row>
    <row r="66" spans="1:7" x14ac:dyDescent="0.3">
      <c r="A66" s="5">
        <f t="shared" si="5"/>
        <v>43947</v>
      </c>
      <c r="B66" s="142">
        <f t="shared" si="8"/>
        <v>0</v>
      </c>
      <c r="C66" s="142">
        <f t="shared" si="8"/>
        <v>0</v>
      </c>
      <c r="D66" s="142">
        <f t="shared" si="8"/>
        <v>0</v>
      </c>
      <c r="E66" s="142">
        <f t="shared" si="8"/>
        <v>0</v>
      </c>
      <c r="F66" s="198"/>
      <c r="G66" s="68">
        <f t="shared" si="7"/>
        <v>0</v>
      </c>
    </row>
    <row r="67" spans="1:7" x14ac:dyDescent="0.3">
      <c r="A67" s="5">
        <f t="shared" si="5"/>
        <v>43948</v>
      </c>
      <c r="B67" s="142">
        <f t="shared" si="8"/>
        <v>0</v>
      </c>
      <c r="C67" s="142">
        <f t="shared" si="8"/>
        <v>0</v>
      </c>
      <c r="D67" s="142">
        <f t="shared" si="8"/>
        <v>0</v>
      </c>
      <c r="E67" s="142">
        <f t="shared" si="8"/>
        <v>0</v>
      </c>
      <c r="F67" s="198"/>
      <c r="G67" s="68">
        <f t="shared" si="7"/>
        <v>0</v>
      </c>
    </row>
    <row r="68" spans="1:7" x14ac:dyDescent="0.3">
      <c r="A68" s="5">
        <f t="shared" si="5"/>
        <v>43949</v>
      </c>
      <c r="B68" s="142">
        <f t="shared" si="8"/>
        <v>0</v>
      </c>
      <c r="C68" s="142">
        <f t="shared" si="8"/>
        <v>0</v>
      </c>
      <c r="D68" s="142">
        <f t="shared" si="8"/>
        <v>0</v>
      </c>
      <c r="E68" s="142">
        <f t="shared" si="8"/>
        <v>0</v>
      </c>
      <c r="F68" s="198"/>
      <c r="G68" s="68">
        <f t="shared" si="7"/>
        <v>0</v>
      </c>
    </row>
    <row r="69" spans="1:7" x14ac:dyDescent="0.3">
      <c r="A69" s="5">
        <f t="shared" si="5"/>
        <v>43950</v>
      </c>
      <c r="B69" s="142">
        <f t="shared" si="8"/>
        <v>0</v>
      </c>
      <c r="C69" s="142">
        <f t="shared" si="8"/>
        <v>0</v>
      </c>
      <c r="D69" s="142">
        <f t="shared" si="8"/>
        <v>0</v>
      </c>
      <c r="E69" s="142">
        <f t="shared" si="8"/>
        <v>0</v>
      </c>
      <c r="F69" s="198"/>
      <c r="G69" s="68">
        <f t="shared" si="7"/>
        <v>0</v>
      </c>
    </row>
    <row r="70" spans="1:7" x14ac:dyDescent="0.3">
      <c r="A70" s="5">
        <f t="shared" si="5"/>
        <v>43951</v>
      </c>
      <c r="B70" s="142">
        <f>B35*B$40</f>
        <v>0</v>
      </c>
      <c r="C70" s="142">
        <f>C35*C$40</f>
        <v>0</v>
      </c>
      <c r="D70" s="142">
        <f>D35*D$40</f>
        <v>0</v>
      </c>
      <c r="E70" s="142">
        <f>E35*E$40</f>
        <v>0</v>
      </c>
      <c r="F70" s="198"/>
      <c r="G70" s="68">
        <f t="shared" si="7"/>
        <v>0</v>
      </c>
    </row>
    <row r="71" spans="1:7" x14ac:dyDescent="0.3">
      <c r="A71" s="214"/>
      <c r="B71" s="216"/>
      <c r="C71" s="216"/>
      <c r="D71" s="216"/>
      <c r="E71" s="216"/>
      <c r="F71" s="198"/>
      <c r="G71" s="215"/>
    </row>
    <row r="72" spans="1:7" x14ac:dyDescent="0.3">
      <c r="A72" s="135" t="s">
        <v>65</v>
      </c>
    </row>
    <row r="73" spans="1:7" ht="15.6" customHeight="1" x14ac:dyDescent="0.3">
      <c r="A73" s="806" t="s">
        <v>4</v>
      </c>
      <c r="B73" s="803">
        <f>B4</f>
        <v>0</v>
      </c>
      <c r="C73" s="137">
        <f t="shared" ref="C73:E74" si="9">C4</f>
        <v>0</v>
      </c>
      <c r="D73" s="137">
        <f t="shared" si="9"/>
        <v>0</v>
      </c>
      <c r="E73" s="137">
        <f t="shared" si="9"/>
        <v>0</v>
      </c>
      <c r="F73" s="195"/>
      <c r="G73" s="803" t="s">
        <v>0</v>
      </c>
    </row>
    <row r="74" spans="1:7" ht="24.6" customHeight="1" x14ac:dyDescent="0.3">
      <c r="A74" s="807"/>
      <c r="B74" s="804"/>
      <c r="C74" s="138">
        <f t="shared" si="9"/>
        <v>0</v>
      </c>
      <c r="D74" s="138">
        <f t="shared" si="9"/>
        <v>0</v>
      </c>
      <c r="E74" s="138">
        <f t="shared" si="9"/>
        <v>0</v>
      </c>
      <c r="F74" s="196"/>
      <c r="G74" s="804"/>
    </row>
    <row r="75" spans="1:7" x14ac:dyDescent="0.3">
      <c r="A75" s="140" t="s">
        <v>66</v>
      </c>
      <c r="B75" s="191"/>
      <c r="C75" s="143"/>
      <c r="D75" s="143"/>
      <c r="E75" s="143"/>
      <c r="F75" s="199"/>
      <c r="G75" s="141"/>
    </row>
    <row r="76" spans="1:7" x14ac:dyDescent="0.3">
      <c r="A76" s="5">
        <f t="shared" ref="A76:A105" si="10">A41</f>
        <v>43922</v>
      </c>
      <c r="B76" s="142">
        <f>IF(B6&lt;0,0,B6*B$75/366)</f>
        <v>0</v>
      </c>
      <c r="C76" s="142">
        <f>IF(C6&lt;0,0,C6*C$75/366)</f>
        <v>0</v>
      </c>
      <c r="D76" s="142">
        <f>IF(D6&lt;0,0,D6*D$75/366)</f>
        <v>0</v>
      </c>
      <c r="E76" s="142">
        <f>IF(E6&lt;0,0,E6*E$75/366)</f>
        <v>0</v>
      </c>
      <c r="F76" s="198"/>
      <c r="G76" s="68">
        <f t="shared" ref="G76:G105" si="11">SUM(B76:E76)</f>
        <v>0</v>
      </c>
    </row>
    <row r="77" spans="1:7" x14ac:dyDescent="0.3">
      <c r="A77" s="5">
        <f t="shared" si="10"/>
        <v>43923</v>
      </c>
      <c r="B77" s="142">
        <f t="shared" ref="B77:E104" si="12">IF(B7&lt;0,0,B7*B$75/366)</f>
        <v>0</v>
      </c>
      <c r="C77" s="142">
        <f t="shared" si="12"/>
        <v>0</v>
      </c>
      <c r="D77" s="142">
        <f t="shared" si="12"/>
        <v>0</v>
      </c>
      <c r="E77" s="142">
        <f t="shared" si="12"/>
        <v>0</v>
      </c>
      <c r="F77" s="198"/>
      <c r="G77" s="68">
        <f t="shared" si="11"/>
        <v>0</v>
      </c>
    </row>
    <row r="78" spans="1:7" x14ac:dyDescent="0.3">
      <c r="A78" s="5">
        <f t="shared" si="10"/>
        <v>43924</v>
      </c>
      <c r="B78" s="142">
        <f t="shared" si="12"/>
        <v>0</v>
      </c>
      <c r="C78" s="142">
        <f t="shared" si="12"/>
        <v>0</v>
      </c>
      <c r="D78" s="142">
        <f t="shared" si="12"/>
        <v>0</v>
      </c>
      <c r="E78" s="142">
        <f t="shared" si="12"/>
        <v>0</v>
      </c>
      <c r="F78" s="198"/>
      <c r="G78" s="68">
        <f t="shared" si="11"/>
        <v>0</v>
      </c>
    </row>
    <row r="79" spans="1:7" x14ac:dyDescent="0.3">
      <c r="A79" s="5">
        <f t="shared" si="10"/>
        <v>43925</v>
      </c>
      <c r="B79" s="142">
        <f t="shared" si="12"/>
        <v>0</v>
      </c>
      <c r="C79" s="142">
        <f t="shared" si="12"/>
        <v>0</v>
      </c>
      <c r="D79" s="142">
        <f t="shared" si="12"/>
        <v>0</v>
      </c>
      <c r="E79" s="142">
        <f t="shared" si="12"/>
        <v>0</v>
      </c>
      <c r="F79" s="198"/>
      <c r="G79" s="68">
        <f t="shared" si="11"/>
        <v>0</v>
      </c>
    </row>
    <row r="80" spans="1:7" x14ac:dyDescent="0.3">
      <c r="A80" s="5">
        <f t="shared" si="10"/>
        <v>43926</v>
      </c>
      <c r="B80" s="142">
        <f t="shared" si="12"/>
        <v>0</v>
      </c>
      <c r="C80" s="142">
        <f t="shared" si="12"/>
        <v>0</v>
      </c>
      <c r="D80" s="142">
        <f t="shared" si="12"/>
        <v>0</v>
      </c>
      <c r="E80" s="142">
        <f t="shared" si="12"/>
        <v>0</v>
      </c>
      <c r="F80" s="198"/>
      <c r="G80" s="68">
        <f t="shared" si="11"/>
        <v>0</v>
      </c>
    </row>
    <row r="81" spans="1:7" x14ac:dyDescent="0.3">
      <c r="A81" s="5">
        <f t="shared" si="10"/>
        <v>43927</v>
      </c>
      <c r="B81" s="142">
        <f t="shared" si="12"/>
        <v>0</v>
      </c>
      <c r="C81" s="142">
        <f t="shared" si="12"/>
        <v>0</v>
      </c>
      <c r="D81" s="142">
        <f t="shared" si="12"/>
        <v>0</v>
      </c>
      <c r="E81" s="142">
        <f t="shared" si="12"/>
        <v>0</v>
      </c>
      <c r="F81" s="198"/>
      <c r="G81" s="68">
        <f t="shared" si="11"/>
        <v>0</v>
      </c>
    </row>
    <row r="82" spans="1:7" x14ac:dyDescent="0.3">
      <c r="A82" s="5">
        <f t="shared" si="10"/>
        <v>43928</v>
      </c>
      <c r="B82" s="142">
        <f t="shared" si="12"/>
        <v>0</v>
      </c>
      <c r="C82" s="142">
        <f t="shared" si="12"/>
        <v>0</v>
      </c>
      <c r="D82" s="142">
        <f t="shared" si="12"/>
        <v>0</v>
      </c>
      <c r="E82" s="142">
        <f t="shared" si="12"/>
        <v>0</v>
      </c>
      <c r="F82" s="198"/>
      <c r="G82" s="68">
        <f t="shared" si="11"/>
        <v>0</v>
      </c>
    </row>
    <row r="83" spans="1:7" x14ac:dyDescent="0.3">
      <c r="A83" s="5">
        <f t="shared" si="10"/>
        <v>43929</v>
      </c>
      <c r="B83" s="142">
        <f t="shared" si="12"/>
        <v>0</v>
      </c>
      <c r="C83" s="142">
        <f t="shared" si="12"/>
        <v>0</v>
      </c>
      <c r="D83" s="142">
        <f t="shared" si="12"/>
        <v>0</v>
      </c>
      <c r="E83" s="142">
        <f t="shared" si="12"/>
        <v>0</v>
      </c>
      <c r="F83" s="198"/>
      <c r="G83" s="68">
        <f t="shared" si="11"/>
        <v>0</v>
      </c>
    </row>
    <row r="84" spans="1:7" x14ac:dyDescent="0.3">
      <c r="A84" s="5">
        <f t="shared" si="10"/>
        <v>43930</v>
      </c>
      <c r="B84" s="142">
        <f t="shared" si="12"/>
        <v>0</v>
      </c>
      <c r="C84" s="142">
        <f t="shared" si="12"/>
        <v>0</v>
      </c>
      <c r="D84" s="142">
        <f t="shared" si="12"/>
        <v>0</v>
      </c>
      <c r="E84" s="142">
        <f t="shared" si="12"/>
        <v>0</v>
      </c>
      <c r="F84" s="198"/>
      <c r="G84" s="68">
        <f t="shared" si="11"/>
        <v>0</v>
      </c>
    </row>
    <row r="85" spans="1:7" x14ac:dyDescent="0.3">
      <c r="A85" s="5">
        <f t="shared" si="10"/>
        <v>43931</v>
      </c>
      <c r="B85" s="142">
        <f t="shared" si="12"/>
        <v>0</v>
      </c>
      <c r="C85" s="142">
        <f t="shared" si="12"/>
        <v>0</v>
      </c>
      <c r="D85" s="142">
        <f t="shared" si="12"/>
        <v>0</v>
      </c>
      <c r="E85" s="142">
        <f t="shared" si="12"/>
        <v>0</v>
      </c>
      <c r="F85" s="198"/>
      <c r="G85" s="68">
        <f t="shared" si="11"/>
        <v>0</v>
      </c>
    </row>
    <row r="86" spans="1:7" x14ac:dyDescent="0.3">
      <c r="A86" s="5">
        <f t="shared" si="10"/>
        <v>43932</v>
      </c>
      <c r="B86" s="142">
        <f t="shared" si="12"/>
        <v>0</v>
      </c>
      <c r="C86" s="142">
        <f t="shared" si="12"/>
        <v>0</v>
      </c>
      <c r="D86" s="142">
        <f t="shared" si="12"/>
        <v>0</v>
      </c>
      <c r="E86" s="142">
        <f t="shared" si="12"/>
        <v>0</v>
      </c>
      <c r="F86" s="198"/>
      <c r="G86" s="68">
        <f t="shared" si="11"/>
        <v>0</v>
      </c>
    </row>
    <row r="87" spans="1:7" x14ac:dyDescent="0.3">
      <c r="A87" s="5">
        <f t="shared" si="10"/>
        <v>43933</v>
      </c>
      <c r="B87" s="142">
        <f t="shared" si="12"/>
        <v>0</v>
      </c>
      <c r="C87" s="142">
        <f t="shared" si="12"/>
        <v>0</v>
      </c>
      <c r="D87" s="142">
        <f t="shared" si="12"/>
        <v>0</v>
      </c>
      <c r="E87" s="142">
        <f t="shared" si="12"/>
        <v>0</v>
      </c>
      <c r="F87" s="198"/>
      <c r="G87" s="68">
        <f t="shared" si="11"/>
        <v>0</v>
      </c>
    </row>
    <row r="88" spans="1:7" x14ac:dyDescent="0.3">
      <c r="A88" s="5">
        <f t="shared" si="10"/>
        <v>43934</v>
      </c>
      <c r="B88" s="142">
        <f t="shared" si="12"/>
        <v>0</v>
      </c>
      <c r="C88" s="142">
        <f t="shared" si="12"/>
        <v>0</v>
      </c>
      <c r="D88" s="142">
        <f t="shared" si="12"/>
        <v>0</v>
      </c>
      <c r="E88" s="142">
        <f t="shared" si="12"/>
        <v>0</v>
      </c>
      <c r="F88" s="198"/>
      <c r="G88" s="68">
        <f t="shared" si="11"/>
        <v>0</v>
      </c>
    </row>
    <row r="89" spans="1:7" x14ac:dyDescent="0.3">
      <c r="A89" s="5">
        <f t="shared" si="10"/>
        <v>43935</v>
      </c>
      <c r="B89" s="142">
        <f t="shared" si="12"/>
        <v>0</v>
      </c>
      <c r="C89" s="142">
        <f t="shared" si="12"/>
        <v>0</v>
      </c>
      <c r="D89" s="142">
        <f t="shared" si="12"/>
        <v>0</v>
      </c>
      <c r="E89" s="142">
        <f t="shared" si="12"/>
        <v>0</v>
      </c>
      <c r="F89" s="198"/>
      <c r="G89" s="68">
        <f t="shared" si="11"/>
        <v>0</v>
      </c>
    </row>
    <row r="90" spans="1:7" x14ac:dyDescent="0.3">
      <c r="A90" s="5">
        <f t="shared" si="10"/>
        <v>43936</v>
      </c>
      <c r="B90" s="142">
        <f t="shared" si="12"/>
        <v>0</v>
      </c>
      <c r="C90" s="142">
        <f t="shared" si="12"/>
        <v>0</v>
      </c>
      <c r="D90" s="142">
        <f t="shared" si="12"/>
        <v>0</v>
      </c>
      <c r="E90" s="142">
        <f t="shared" si="12"/>
        <v>0</v>
      </c>
      <c r="F90" s="198"/>
      <c r="G90" s="68">
        <f t="shared" si="11"/>
        <v>0</v>
      </c>
    </row>
    <row r="91" spans="1:7" x14ac:dyDescent="0.3">
      <c r="A91" s="5">
        <f t="shared" si="10"/>
        <v>43937</v>
      </c>
      <c r="B91" s="142">
        <f t="shared" si="12"/>
        <v>0</v>
      </c>
      <c r="C91" s="142">
        <f t="shared" si="12"/>
        <v>0</v>
      </c>
      <c r="D91" s="142">
        <f t="shared" si="12"/>
        <v>0</v>
      </c>
      <c r="E91" s="142">
        <f t="shared" si="12"/>
        <v>0</v>
      </c>
      <c r="F91" s="198"/>
      <c r="G91" s="68">
        <f t="shared" si="11"/>
        <v>0</v>
      </c>
    </row>
    <row r="92" spans="1:7" x14ac:dyDescent="0.3">
      <c r="A92" s="5">
        <f t="shared" si="10"/>
        <v>43938</v>
      </c>
      <c r="B92" s="142">
        <f t="shared" si="12"/>
        <v>0</v>
      </c>
      <c r="C92" s="142">
        <f t="shared" si="12"/>
        <v>0</v>
      </c>
      <c r="D92" s="142">
        <f t="shared" si="12"/>
        <v>0</v>
      </c>
      <c r="E92" s="142">
        <f t="shared" si="12"/>
        <v>0</v>
      </c>
      <c r="F92" s="198"/>
      <c r="G92" s="68">
        <f t="shared" si="11"/>
        <v>0</v>
      </c>
    </row>
    <row r="93" spans="1:7" x14ac:dyDescent="0.3">
      <c r="A93" s="5">
        <f t="shared" si="10"/>
        <v>43939</v>
      </c>
      <c r="B93" s="142">
        <f t="shared" si="12"/>
        <v>0</v>
      </c>
      <c r="C93" s="142">
        <f t="shared" si="12"/>
        <v>0</v>
      </c>
      <c r="D93" s="142">
        <f t="shared" si="12"/>
        <v>0</v>
      </c>
      <c r="E93" s="142">
        <f t="shared" si="12"/>
        <v>0</v>
      </c>
      <c r="F93" s="198"/>
      <c r="G93" s="68">
        <f t="shared" si="11"/>
        <v>0</v>
      </c>
    </row>
    <row r="94" spans="1:7" x14ac:dyDescent="0.3">
      <c r="A94" s="5">
        <f t="shared" si="10"/>
        <v>43940</v>
      </c>
      <c r="B94" s="142">
        <f t="shared" si="12"/>
        <v>0</v>
      </c>
      <c r="C94" s="142">
        <f t="shared" si="12"/>
        <v>0</v>
      </c>
      <c r="D94" s="142">
        <f t="shared" si="12"/>
        <v>0</v>
      </c>
      <c r="E94" s="142">
        <f t="shared" si="12"/>
        <v>0</v>
      </c>
      <c r="F94" s="198"/>
      <c r="G94" s="68">
        <f t="shared" si="11"/>
        <v>0</v>
      </c>
    </row>
    <row r="95" spans="1:7" x14ac:dyDescent="0.3">
      <c r="A95" s="5">
        <f t="shared" si="10"/>
        <v>43941</v>
      </c>
      <c r="B95" s="142">
        <f t="shared" si="12"/>
        <v>0</v>
      </c>
      <c r="C95" s="142">
        <f t="shared" si="12"/>
        <v>0</v>
      </c>
      <c r="D95" s="142">
        <f t="shared" si="12"/>
        <v>0</v>
      </c>
      <c r="E95" s="142">
        <f t="shared" si="12"/>
        <v>0</v>
      </c>
      <c r="F95" s="198"/>
      <c r="G95" s="68">
        <f t="shared" si="11"/>
        <v>0</v>
      </c>
    </row>
    <row r="96" spans="1:7" x14ac:dyDescent="0.3">
      <c r="A96" s="5">
        <f t="shared" si="10"/>
        <v>43942</v>
      </c>
      <c r="B96" s="142">
        <f t="shared" si="12"/>
        <v>0</v>
      </c>
      <c r="C96" s="142">
        <f t="shared" si="12"/>
        <v>0</v>
      </c>
      <c r="D96" s="142">
        <f t="shared" si="12"/>
        <v>0</v>
      </c>
      <c r="E96" s="142">
        <f t="shared" si="12"/>
        <v>0</v>
      </c>
      <c r="F96" s="198"/>
      <c r="G96" s="68">
        <f t="shared" si="11"/>
        <v>0</v>
      </c>
    </row>
    <row r="97" spans="1:7" x14ac:dyDescent="0.3">
      <c r="A97" s="5">
        <f t="shared" si="10"/>
        <v>43943</v>
      </c>
      <c r="B97" s="142">
        <f t="shared" si="12"/>
        <v>0</v>
      </c>
      <c r="C97" s="142">
        <f t="shared" si="12"/>
        <v>0</v>
      </c>
      <c r="D97" s="142">
        <f t="shared" si="12"/>
        <v>0</v>
      </c>
      <c r="E97" s="142">
        <f t="shared" si="12"/>
        <v>0</v>
      </c>
      <c r="F97" s="198"/>
      <c r="G97" s="68">
        <f t="shared" si="11"/>
        <v>0</v>
      </c>
    </row>
    <row r="98" spans="1:7" x14ac:dyDescent="0.3">
      <c r="A98" s="5">
        <f t="shared" si="10"/>
        <v>43944</v>
      </c>
      <c r="B98" s="142">
        <f t="shared" si="12"/>
        <v>0</v>
      </c>
      <c r="C98" s="142">
        <f t="shared" si="12"/>
        <v>0</v>
      </c>
      <c r="D98" s="142">
        <f t="shared" si="12"/>
        <v>0</v>
      </c>
      <c r="E98" s="142">
        <f t="shared" si="12"/>
        <v>0</v>
      </c>
      <c r="F98" s="198"/>
      <c r="G98" s="68">
        <f t="shared" si="11"/>
        <v>0</v>
      </c>
    </row>
    <row r="99" spans="1:7" x14ac:dyDescent="0.3">
      <c r="A99" s="5">
        <f t="shared" si="10"/>
        <v>43945</v>
      </c>
      <c r="B99" s="142">
        <f t="shared" si="12"/>
        <v>0</v>
      </c>
      <c r="C99" s="142">
        <f t="shared" si="12"/>
        <v>0</v>
      </c>
      <c r="D99" s="142">
        <f t="shared" si="12"/>
        <v>0</v>
      </c>
      <c r="E99" s="142">
        <f t="shared" si="12"/>
        <v>0</v>
      </c>
      <c r="F99" s="198"/>
      <c r="G99" s="68">
        <f t="shared" si="11"/>
        <v>0</v>
      </c>
    </row>
    <row r="100" spans="1:7" x14ac:dyDescent="0.3">
      <c r="A100" s="5">
        <f t="shared" si="10"/>
        <v>43946</v>
      </c>
      <c r="B100" s="142">
        <f t="shared" si="12"/>
        <v>0</v>
      </c>
      <c r="C100" s="142">
        <f t="shared" si="12"/>
        <v>0</v>
      </c>
      <c r="D100" s="142">
        <f t="shared" si="12"/>
        <v>0</v>
      </c>
      <c r="E100" s="142">
        <f t="shared" si="12"/>
        <v>0</v>
      </c>
      <c r="F100" s="198"/>
      <c r="G100" s="68">
        <f t="shared" si="11"/>
        <v>0</v>
      </c>
    </row>
    <row r="101" spans="1:7" x14ac:dyDescent="0.3">
      <c r="A101" s="5">
        <f t="shared" si="10"/>
        <v>43947</v>
      </c>
      <c r="B101" s="142">
        <f t="shared" si="12"/>
        <v>0</v>
      </c>
      <c r="C101" s="142">
        <f t="shared" si="12"/>
        <v>0</v>
      </c>
      <c r="D101" s="142">
        <f t="shared" si="12"/>
        <v>0</v>
      </c>
      <c r="E101" s="142">
        <f t="shared" si="12"/>
        <v>0</v>
      </c>
      <c r="F101" s="198"/>
      <c r="G101" s="68">
        <f t="shared" si="11"/>
        <v>0</v>
      </c>
    </row>
    <row r="102" spans="1:7" x14ac:dyDescent="0.3">
      <c r="A102" s="5">
        <f t="shared" si="10"/>
        <v>43948</v>
      </c>
      <c r="B102" s="142">
        <f t="shared" si="12"/>
        <v>0</v>
      </c>
      <c r="C102" s="142">
        <f t="shared" si="12"/>
        <v>0</v>
      </c>
      <c r="D102" s="142">
        <f t="shared" si="12"/>
        <v>0</v>
      </c>
      <c r="E102" s="142">
        <f t="shared" si="12"/>
        <v>0</v>
      </c>
      <c r="F102" s="198"/>
      <c r="G102" s="68">
        <f t="shared" si="11"/>
        <v>0</v>
      </c>
    </row>
    <row r="103" spans="1:7" x14ac:dyDescent="0.3">
      <c r="A103" s="5">
        <f t="shared" si="10"/>
        <v>43949</v>
      </c>
      <c r="B103" s="142">
        <f t="shared" si="12"/>
        <v>0</v>
      </c>
      <c r="C103" s="142">
        <f t="shared" si="12"/>
        <v>0</v>
      </c>
      <c r="D103" s="142">
        <f t="shared" si="12"/>
        <v>0</v>
      </c>
      <c r="E103" s="142">
        <f t="shared" si="12"/>
        <v>0</v>
      </c>
      <c r="F103" s="198"/>
      <c r="G103" s="68">
        <f t="shared" si="11"/>
        <v>0</v>
      </c>
    </row>
    <row r="104" spans="1:7" x14ac:dyDescent="0.3">
      <c r="A104" s="5">
        <f t="shared" si="10"/>
        <v>43950</v>
      </c>
      <c r="B104" s="142">
        <f t="shared" si="12"/>
        <v>0</v>
      </c>
      <c r="C104" s="142">
        <f t="shared" si="12"/>
        <v>0</v>
      </c>
      <c r="D104" s="142">
        <f t="shared" si="12"/>
        <v>0</v>
      </c>
      <c r="E104" s="142">
        <f t="shared" si="12"/>
        <v>0</v>
      </c>
      <c r="F104" s="198"/>
      <c r="G104" s="68">
        <f t="shared" si="11"/>
        <v>0</v>
      </c>
    </row>
    <row r="105" spans="1:7" x14ac:dyDescent="0.3">
      <c r="A105" s="5">
        <f t="shared" si="10"/>
        <v>43951</v>
      </c>
      <c r="B105" s="142">
        <f>IF(B35&lt;0,0,B35*B$75/366)</f>
        <v>0</v>
      </c>
      <c r="C105" s="142">
        <f>IF(C35&lt;0,0,C35*C$75/366)</f>
        <v>0</v>
      </c>
      <c r="D105" s="142">
        <f>IF(D35&lt;0,0,D35*D$75/366)</f>
        <v>0</v>
      </c>
      <c r="E105" s="142">
        <f>IF(E35&lt;0,0,E35*E$75/366)</f>
        <v>0</v>
      </c>
      <c r="F105" s="198"/>
      <c r="G105" s="68">
        <f t="shared" si="11"/>
        <v>0</v>
      </c>
    </row>
    <row r="106" spans="1:7" x14ac:dyDescent="0.3">
      <c r="A106" s="214"/>
      <c r="B106" s="216"/>
      <c r="C106" s="216"/>
      <c r="D106" s="216"/>
      <c r="E106" s="216"/>
      <c r="F106" s="198"/>
      <c r="G106" s="215"/>
    </row>
    <row r="107" spans="1:7" x14ac:dyDescent="0.3">
      <c r="A107" s="184" t="s">
        <v>0</v>
      </c>
      <c r="B107" s="182">
        <f>SUM(B76:B106)</f>
        <v>0</v>
      </c>
      <c r="C107" s="182">
        <f>SUM(C76:C106)</f>
        <v>0</v>
      </c>
      <c r="D107" s="182">
        <f>SUM(D76:D106)</f>
        <v>0</v>
      </c>
      <c r="E107" s="182">
        <f>SUM(E76:E106)</f>
        <v>0</v>
      </c>
      <c r="F107" s="198"/>
      <c r="G107" s="182">
        <f>SUM(G76:G106)</f>
        <v>0</v>
      </c>
    </row>
    <row r="109" spans="1:7" x14ac:dyDescent="0.3">
      <c r="A109" s="135" t="s">
        <v>67</v>
      </c>
    </row>
    <row r="110" spans="1:7" x14ac:dyDescent="0.3">
      <c r="A110" s="136"/>
      <c r="B110" s="803">
        <f>B4</f>
        <v>0</v>
      </c>
      <c r="C110" s="137">
        <f t="shared" ref="C110:E111" si="13">C4</f>
        <v>0</v>
      </c>
      <c r="D110" s="137">
        <f t="shared" si="13"/>
        <v>0</v>
      </c>
      <c r="E110" s="137">
        <f t="shared" si="13"/>
        <v>0</v>
      </c>
      <c r="F110" s="195"/>
      <c r="G110" s="137"/>
    </row>
    <row r="111" spans="1:7" ht="25.8" customHeight="1" x14ac:dyDescent="0.3">
      <c r="A111" s="144"/>
      <c r="B111" s="805"/>
      <c r="C111" s="145">
        <f t="shared" si="13"/>
        <v>0</v>
      </c>
      <c r="D111" s="145">
        <f t="shared" si="13"/>
        <v>0</v>
      </c>
      <c r="E111" s="145">
        <f t="shared" si="13"/>
        <v>0</v>
      </c>
      <c r="F111" s="200"/>
      <c r="G111" s="146" t="s">
        <v>0</v>
      </c>
    </row>
    <row r="112" spans="1:7" x14ac:dyDescent="0.3">
      <c r="A112" s="147" t="s">
        <v>68</v>
      </c>
      <c r="B112" s="18">
        <f>B107</f>
        <v>0</v>
      </c>
      <c r="C112" s="18">
        <f>C107</f>
        <v>0</v>
      </c>
      <c r="D112" s="18">
        <f>D107</f>
        <v>0</v>
      </c>
      <c r="E112" s="18">
        <f>E107</f>
        <v>0</v>
      </c>
      <c r="F112" s="128"/>
      <c r="G112" s="73">
        <f>SUM(B112:E112)</f>
        <v>0</v>
      </c>
    </row>
    <row r="113" spans="1:15" x14ac:dyDescent="0.3">
      <c r="A113" s="148" t="s">
        <v>69</v>
      </c>
      <c r="B113" s="149"/>
      <c r="C113" s="149"/>
      <c r="D113" s="149"/>
      <c r="E113" s="149"/>
      <c r="F113" s="119"/>
      <c r="G113" s="147"/>
      <c r="H113" s="150" t="s">
        <v>150</v>
      </c>
    </row>
    <row r="114" spans="1:15" x14ac:dyDescent="0.3">
      <c r="A114" s="147" t="s">
        <v>70</v>
      </c>
      <c r="B114" s="73">
        <f>B112*B113</f>
        <v>0</v>
      </c>
      <c r="C114" s="73">
        <f>C112*C113</f>
        <v>0</v>
      </c>
      <c r="D114" s="73">
        <f>D112*D113</f>
        <v>0</v>
      </c>
      <c r="E114" s="73">
        <f>E112*E113</f>
        <v>0</v>
      </c>
      <c r="F114" s="119"/>
      <c r="G114" s="73">
        <f>SUM(B114:F114)</f>
        <v>0</v>
      </c>
    </row>
    <row r="115" spans="1:15" x14ac:dyDescent="0.3">
      <c r="A115" s="147" t="s">
        <v>59</v>
      </c>
      <c r="B115" s="151"/>
      <c r="C115" s="151"/>
      <c r="D115" s="151"/>
      <c r="E115" s="151"/>
      <c r="F115" s="201"/>
      <c r="G115" s="73">
        <f>SUM(B115:F115)</f>
        <v>0</v>
      </c>
    </row>
    <row r="116" spans="1:15" x14ac:dyDescent="0.3">
      <c r="A116" s="152" t="s">
        <v>11</v>
      </c>
      <c r="B116" s="73"/>
      <c r="C116" s="73"/>
      <c r="D116" s="73">
        <f>IF(D115=0,0,D115-D114)</f>
        <v>0</v>
      </c>
      <c r="E116" s="73">
        <f>IF(E115=0,0,E115-E114)</f>
        <v>0</v>
      </c>
      <c r="F116" s="119"/>
      <c r="G116" s="73">
        <f>SUM(B116:F116)</f>
        <v>0</v>
      </c>
    </row>
    <row r="117" spans="1:15" x14ac:dyDescent="0.3">
      <c r="A117" s="153" t="s">
        <v>71</v>
      </c>
      <c r="B117" s="151">
        <f>B114+B116</f>
        <v>0</v>
      </c>
      <c r="C117" s="151">
        <f>C114+C116</f>
        <v>0</v>
      </c>
      <c r="D117" s="151">
        <f>D114+D116</f>
        <v>0</v>
      </c>
      <c r="E117" s="151">
        <f>E114+E116</f>
        <v>0</v>
      </c>
      <c r="F117" s="201"/>
      <c r="G117" s="151">
        <f>G114+G116</f>
        <v>0</v>
      </c>
    </row>
    <row r="118" spans="1:15" x14ac:dyDescent="0.3">
      <c r="A118" s="154"/>
      <c r="B118" s="155"/>
      <c r="C118" s="155"/>
      <c r="D118" s="155"/>
      <c r="E118" s="155"/>
      <c r="F118" s="155"/>
    </row>
    <row r="119" spans="1:15" x14ac:dyDescent="0.3">
      <c r="A119" s="156"/>
      <c r="B119" s="157"/>
      <c r="C119" s="157"/>
      <c r="D119" s="157"/>
      <c r="E119" s="157"/>
      <c r="F119" s="157"/>
      <c r="G119" s="121"/>
      <c r="H119" s="158" t="s">
        <v>72</v>
      </c>
      <c r="I119" s="159"/>
      <c r="J119" s="160"/>
      <c r="K119" s="150" t="s">
        <v>73</v>
      </c>
      <c r="O119" s="150"/>
    </row>
    <row r="120" spans="1:15" x14ac:dyDescent="0.3">
      <c r="A120" s="156"/>
      <c r="B120" s="155"/>
      <c r="C120" s="161"/>
      <c r="D120" s="161"/>
      <c r="E120" s="161"/>
      <c r="F120" s="161"/>
    </row>
    <row r="121" spans="1:15" x14ac:dyDescent="0.3">
      <c r="A121" s="59"/>
      <c r="B121" s="155"/>
      <c r="C121" s="161"/>
      <c r="D121" s="162"/>
      <c r="E121" s="162"/>
      <c r="F121" s="162"/>
      <c r="G121" s="121">
        <f>G117</f>
        <v>0</v>
      </c>
      <c r="H121" s="158" t="s">
        <v>36</v>
      </c>
      <c r="I121" s="159"/>
      <c r="J121" s="160"/>
    </row>
    <row r="122" spans="1:15" x14ac:dyDescent="0.3">
      <c r="A122" s="155"/>
      <c r="B122" s="163"/>
      <c r="C122" s="164"/>
      <c r="D122" s="164"/>
      <c r="E122" s="164"/>
      <c r="F122" s="164"/>
    </row>
    <row r="123" spans="1:15" x14ac:dyDescent="0.3">
      <c r="A123" s="155"/>
      <c r="B123" s="163"/>
      <c r="C123" s="164"/>
      <c r="D123" s="164"/>
      <c r="E123" s="164"/>
      <c r="F123" s="164"/>
      <c r="G123" s="121">
        <f>G119+G121-G115</f>
        <v>0</v>
      </c>
      <c r="H123" s="158" t="s">
        <v>74</v>
      </c>
      <c r="I123" s="159"/>
      <c r="J123" s="160"/>
    </row>
    <row r="124" spans="1:15" x14ac:dyDescent="0.3">
      <c r="A124" s="155"/>
      <c r="B124" s="163"/>
      <c r="C124" s="164"/>
      <c r="D124" s="164"/>
      <c r="E124" s="164"/>
      <c r="F124" s="164"/>
      <c r="G124" s="171"/>
      <c r="H124" s="169"/>
      <c r="I124" s="171"/>
      <c r="J124" s="171"/>
    </row>
    <row r="125" spans="1:15" x14ac:dyDescent="0.3">
      <c r="A125" s="154" t="s">
        <v>99</v>
      </c>
      <c r="B125" s="163"/>
      <c r="C125" s="164"/>
      <c r="D125" s="164"/>
      <c r="E125" s="164"/>
      <c r="F125" s="164"/>
      <c r="G125" s="171"/>
      <c r="H125" s="169"/>
      <c r="I125" s="171"/>
      <c r="J125" s="171"/>
    </row>
    <row r="126" spans="1:15" x14ac:dyDescent="0.3">
      <c r="A126" s="211"/>
      <c r="B126" s="185"/>
      <c r="C126" s="185"/>
      <c r="D126" s="185"/>
      <c r="E126" s="185"/>
      <c r="F126" s="164"/>
      <c r="G126" s="171"/>
      <c r="H126" s="169"/>
      <c r="I126" s="171"/>
      <c r="J126" s="171"/>
    </row>
    <row r="127" spans="1:15" x14ac:dyDescent="0.3">
      <c r="A127" s="188"/>
      <c r="B127" s="185"/>
      <c r="C127" s="185"/>
      <c r="D127" s="185"/>
      <c r="E127" s="185"/>
      <c r="F127" s="164"/>
      <c r="G127" s="171"/>
      <c r="H127" s="169"/>
      <c r="I127" s="171"/>
      <c r="J127" s="171"/>
    </row>
    <row r="128" spans="1:15" x14ac:dyDescent="0.3">
      <c r="A128" s="188"/>
      <c r="B128" s="185"/>
      <c r="C128" s="185"/>
      <c r="D128" s="185"/>
      <c r="E128" s="185"/>
      <c r="F128" s="164"/>
      <c r="G128" s="171"/>
      <c r="H128" s="169"/>
      <c r="I128" s="171"/>
      <c r="J128" s="171"/>
    </row>
    <row r="129" spans="1:10" x14ac:dyDescent="0.3">
      <c r="A129" s="188"/>
      <c r="B129" s="185"/>
      <c r="C129" s="185"/>
      <c r="D129" s="185"/>
      <c r="E129" s="185"/>
      <c r="F129" s="164"/>
      <c r="G129" s="171"/>
      <c r="H129" s="169"/>
      <c r="I129" s="171"/>
      <c r="J129" s="171"/>
    </row>
    <row r="130" spans="1:10" ht="14.4" thickBot="1" x14ac:dyDescent="0.35">
      <c r="A130" s="155"/>
      <c r="B130" s="163"/>
      <c r="C130" s="164"/>
      <c r="D130" s="164"/>
      <c r="E130" s="164"/>
      <c r="F130" s="164"/>
      <c r="G130" s="171"/>
      <c r="H130" s="169"/>
      <c r="I130" s="171"/>
      <c r="J130" s="171"/>
    </row>
    <row r="131" spans="1:10" ht="14.4" thickBot="1" x14ac:dyDescent="0.35">
      <c r="A131" s="186"/>
      <c r="B131" s="187">
        <f>SUM(B126:B129)</f>
        <v>0</v>
      </c>
      <c r="C131" s="187">
        <f>SUM(C126:C129)</f>
        <v>0</v>
      </c>
      <c r="D131" s="187">
        <f>SUM(D126:D129)</f>
        <v>0</v>
      </c>
      <c r="E131" s="187">
        <f>SUM(E126:F129)</f>
        <v>0</v>
      </c>
      <c r="F131" s="189"/>
      <c r="G131" s="171"/>
      <c r="H131" s="169"/>
      <c r="I131" s="171"/>
      <c r="J131" s="171"/>
    </row>
    <row r="133" spans="1:10" x14ac:dyDescent="0.3">
      <c r="A133" s="135" t="s">
        <v>75</v>
      </c>
    </row>
    <row r="134" spans="1:10" x14ac:dyDescent="0.3">
      <c r="A134" s="136"/>
      <c r="B134" s="803">
        <f>B4</f>
        <v>0</v>
      </c>
      <c r="C134" s="137">
        <f>C4</f>
        <v>0</v>
      </c>
      <c r="D134" s="137">
        <f>D4</f>
        <v>0</v>
      </c>
      <c r="E134" s="137">
        <f>E4</f>
        <v>0</v>
      </c>
      <c r="F134" s="195"/>
      <c r="G134" s="137"/>
    </row>
    <row r="135" spans="1:10" ht="24.6" customHeight="1" x14ac:dyDescent="0.3">
      <c r="A135" s="144"/>
      <c r="B135" s="805"/>
      <c r="C135" s="145">
        <f>C5</f>
        <v>0</v>
      </c>
      <c r="D135" s="145">
        <f>D5</f>
        <v>0</v>
      </c>
      <c r="E135" s="145">
        <f>E5</f>
        <v>0</v>
      </c>
      <c r="F135" s="200"/>
      <c r="G135" s="146" t="s">
        <v>0</v>
      </c>
    </row>
    <row r="136" spans="1:10" x14ac:dyDescent="0.3">
      <c r="A136" s="153" t="s">
        <v>76</v>
      </c>
      <c r="B136" s="121">
        <f>B35</f>
        <v>0</v>
      </c>
      <c r="C136" s="121">
        <f>C35</f>
        <v>0</v>
      </c>
      <c r="D136" s="121">
        <f>D35</f>
        <v>0</v>
      </c>
      <c r="E136" s="121">
        <f>E35</f>
        <v>0</v>
      </c>
      <c r="F136" s="202"/>
      <c r="G136" s="151">
        <f>SUM(B136:F136)</f>
        <v>0</v>
      </c>
      <c r="H136" s="150" t="s">
        <v>77</v>
      </c>
    </row>
    <row r="137" spans="1:10" x14ac:dyDescent="0.3">
      <c r="A137" s="148" t="s">
        <v>69</v>
      </c>
      <c r="B137" s="149">
        <f>B113</f>
        <v>0</v>
      </c>
      <c r="C137" s="149">
        <f>C113</f>
        <v>0</v>
      </c>
      <c r="D137" s="149">
        <f>D113</f>
        <v>0</v>
      </c>
      <c r="E137" s="149">
        <f>E113</f>
        <v>0</v>
      </c>
      <c r="F137" s="119"/>
      <c r="G137" s="147"/>
    </row>
    <row r="138" spans="1:10" x14ac:dyDescent="0.3">
      <c r="A138" s="153" t="s">
        <v>78</v>
      </c>
      <c r="B138" s="151">
        <f>B136*B137</f>
        <v>0</v>
      </c>
      <c r="C138" s="151">
        <f>C136*C137</f>
        <v>0</v>
      </c>
      <c r="D138" s="151">
        <f>D136*D137</f>
        <v>0</v>
      </c>
      <c r="E138" s="151">
        <f>E136*E137</f>
        <v>0</v>
      </c>
      <c r="F138" s="201"/>
      <c r="G138" s="151">
        <f>SUM(B138:F138)</f>
        <v>0</v>
      </c>
    </row>
    <row r="139" spans="1:10" x14ac:dyDescent="0.3">
      <c r="A139" s="153" t="s">
        <v>79</v>
      </c>
      <c r="B139" s="151">
        <f>IF(B136=0,0,B70)</f>
        <v>0</v>
      </c>
      <c r="C139" s="151">
        <f>IF(C136=0,0,C70)</f>
        <v>0</v>
      </c>
      <c r="D139" s="151">
        <f>IF(D136=0,0,D70)</f>
        <v>0</v>
      </c>
      <c r="E139" s="151">
        <f>IF(E136=0,0,E70)</f>
        <v>0</v>
      </c>
      <c r="F139" s="201"/>
      <c r="G139" s="151">
        <f>SUM(B139:F139)</f>
        <v>0</v>
      </c>
      <c r="H139" s="150" t="s">
        <v>80</v>
      </c>
    </row>
    <row r="140" spans="1:10" x14ac:dyDescent="0.3">
      <c r="A140" s="153" t="s">
        <v>81</v>
      </c>
      <c r="B140" s="121">
        <f>B138-B139</f>
        <v>0</v>
      </c>
      <c r="C140" s="121">
        <f>C138-C139</f>
        <v>0</v>
      </c>
      <c r="D140" s="121">
        <f>D138-D139</f>
        <v>0</v>
      </c>
      <c r="E140" s="121">
        <f>E138-E139</f>
        <v>0</v>
      </c>
      <c r="F140" s="202"/>
      <c r="G140" s="121">
        <f>G138-G139</f>
        <v>0</v>
      </c>
    </row>
    <row r="141" spans="1:10" x14ac:dyDescent="0.3">
      <c r="A141" s="165" t="s">
        <v>76</v>
      </c>
      <c r="C141" s="166" t="s">
        <v>82</v>
      </c>
      <c r="D141" s="167"/>
      <c r="E141" s="167"/>
      <c r="F141" s="203"/>
      <c r="G141" s="168">
        <v>0</v>
      </c>
      <c r="H141" s="150" t="s">
        <v>73</v>
      </c>
      <c r="J141" s="69"/>
    </row>
    <row r="142" spans="1:10" x14ac:dyDescent="0.3">
      <c r="A142" s="165" t="s">
        <v>83</v>
      </c>
      <c r="C142" s="166" t="s">
        <v>84</v>
      </c>
      <c r="D142" s="167"/>
      <c r="E142" s="167"/>
      <c r="F142" s="203"/>
      <c r="G142" s="168">
        <v>0</v>
      </c>
      <c r="H142" s="150"/>
      <c r="J142" s="69"/>
    </row>
    <row r="143" spans="1:10" x14ac:dyDescent="0.3">
      <c r="A143" s="59"/>
      <c r="C143" s="166" t="s">
        <v>85</v>
      </c>
      <c r="D143" s="167"/>
      <c r="E143" s="167"/>
      <c r="F143" s="203"/>
      <c r="G143" s="168">
        <f>G141+G142</f>
        <v>0</v>
      </c>
      <c r="H143" s="150"/>
      <c r="J143" s="69"/>
    </row>
    <row r="144" spans="1:10" x14ac:dyDescent="0.3">
      <c r="A144" s="59"/>
      <c r="C144" s="56" t="s">
        <v>86</v>
      </c>
      <c r="D144" s="17"/>
      <c r="E144" s="17"/>
      <c r="F144" s="203"/>
      <c r="G144" s="18">
        <f>G140-G143</f>
        <v>0</v>
      </c>
      <c r="H144" s="150"/>
      <c r="J144" s="69"/>
    </row>
    <row r="145" spans="1:10" x14ac:dyDescent="0.3">
      <c r="C145" s="56" t="s">
        <v>87</v>
      </c>
      <c r="D145" s="17"/>
      <c r="E145" s="17"/>
      <c r="F145" s="203"/>
      <c r="G145" s="18"/>
      <c r="H145" s="150" t="s">
        <v>73</v>
      </c>
      <c r="J145" s="69"/>
    </row>
    <row r="146" spans="1:10" x14ac:dyDescent="0.3">
      <c r="A146" s="169"/>
      <c r="C146" s="158" t="s">
        <v>88</v>
      </c>
      <c r="D146" s="170"/>
      <c r="E146" s="170"/>
      <c r="F146" s="204"/>
      <c r="G146" s="121">
        <f>G144+G145</f>
        <v>0</v>
      </c>
      <c r="H146" s="69"/>
      <c r="J146" s="69"/>
    </row>
    <row r="147" spans="1:10" x14ac:dyDescent="0.3">
      <c r="F147" s="205"/>
      <c r="H147" s="69"/>
    </row>
    <row r="148" spans="1:10" x14ac:dyDescent="0.3">
      <c r="A148" s="147" t="s">
        <v>89</v>
      </c>
      <c r="B148" s="18">
        <v>0</v>
      </c>
      <c r="C148" s="18">
        <v>0</v>
      </c>
      <c r="D148" s="18">
        <f>+D136</f>
        <v>0</v>
      </c>
      <c r="E148" s="18">
        <f>+E136</f>
        <v>0</v>
      </c>
      <c r="F148" s="128"/>
      <c r="G148" s="73">
        <f>SUM(B148:F148)</f>
        <v>0</v>
      </c>
    </row>
    <row r="149" spans="1:10" x14ac:dyDescent="0.3">
      <c r="A149" s="147" t="s">
        <v>90</v>
      </c>
      <c r="B149" s="18"/>
      <c r="C149" s="18"/>
      <c r="D149" s="18"/>
      <c r="E149" s="18"/>
      <c r="F149" s="128"/>
      <c r="G149" s="73">
        <f>SUM(B149:F149)</f>
        <v>0</v>
      </c>
    </row>
    <row r="150" spans="1:10" x14ac:dyDescent="0.3">
      <c r="A150" s="147" t="s">
        <v>91</v>
      </c>
      <c r="B150" s="18">
        <f>B131</f>
        <v>0</v>
      </c>
      <c r="C150" s="18">
        <f>C131</f>
        <v>0</v>
      </c>
      <c r="D150" s="18">
        <f>D131</f>
        <v>0</v>
      </c>
      <c r="E150" s="18">
        <f>E131</f>
        <v>0</v>
      </c>
      <c r="F150" s="128"/>
      <c r="G150" s="73">
        <f>SUM(B150:F150)</f>
        <v>0</v>
      </c>
    </row>
    <row r="151" spans="1:10" x14ac:dyDescent="0.3">
      <c r="A151" s="153" t="s">
        <v>92</v>
      </c>
      <c r="B151" s="121">
        <f t="shared" ref="B151:E152" si="14">B149-B148</f>
        <v>0</v>
      </c>
      <c r="C151" s="121">
        <f t="shared" si="14"/>
        <v>0</v>
      </c>
      <c r="D151" s="121">
        <f t="shared" si="14"/>
        <v>0</v>
      </c>
      <c r="E151" s="121">
        <f t="shared" si="14"/>
        <v>0</v>
      </c>
      <c r="F151" s="202"/>
      <c r="G151" s="151">
        <f>SUM(B151:F151)</f>
        <v>0</v>
      </c>
    </row>
    <row r="152" spans="1:10" x14ac:dyDescent="0.3">
      <c r="A152" s="153" t="s">
        <v>93</v>
      </c>
      <c r="B152" s="121">
        <f t="shared" si="14"/>
        <v>0</v>
      </c>
      <c r="C152" s="121">
        <f t="shared" si="14"/>
        <v>0</v>
      </c>
      <c r="D152" s="121">
        <f t="shared" si="14"/>
        <v>0</v>
      </c>
      <c r="E152" s="121">
        <f t="shared" si="14"/>
        <v>0</v>
      </c>
      <c r="F152" s="202"/>
      <c r="G152" s="151">
        <f>SUM(B152:F152)</f>
        <v>0</v>
      </c>
    </row>
    <row r="153" spans="1:10" x14ac:dyDescent="0.3">
      <c r="A153" s="169"/>
      <c r="B153" s="171"/>
      <c r="C153" s="171"/>
      <c r="D153" s="171"/>
      <c r="E153" s="171"/>
      <c r="F153" s="162"/>
      <c r="G153" s="172"/>
    </row>
    <row r="154" spans="1:10" x14ac:dyDescent="0.3">
      <c r="A154" s="173" t="s">
        <v>94</v>
      </c>
      <c r="B154" s="174">
        <f>B150-B148</f>
        <v>0</v>
      </c>
      <c r="C154" s="174">
        <f>C150-C148</f>
        <v>0</v>
      </c>
      <c r="D154" s="174">
        <f>D150-D148</f>
        <v>0</v>
      </c>
      <c r="E154" s="174">
        <f>E150-E148</f>
        <v>0</v>
      </c>
      <c r="F154" s="202"/>
      <c r="G154" s="175">
        <f>G150-G148</f>
        <v>0</v>
      </c>
    </row>
    <row r="155" spans="1:10" x14ac:dyDescent="0.3">
      <c r="B155" s="69"/>
      <c r="C155" s="69"/>
      <c r="D155" s="69"/>
      <c r="E155" s="69"/>
      <c r="F155" s="130"/>
      <c r="G155" s="69"/>
    </row>
    <row r="156" spans="1:10" x14ac:dyDescent="0.3">
      <c r="B156" s="176"/>
      <c r="C156" s="177" t="s">
        <v>95</v>
      </c>
      <c r="D156" s="178"/>
      <c r="E156" s="179"/>
      <c r="F156" s="206"/>
      <c r="G156" s="74">
        <f>G141</f>
        <v>0</v>
      </c>
    </row>
    <row r="157" spans="1:10" x14ac:dyDescent="0.3">
      <c r="B157" s="176"/>
      <c r="C157" s="170" t="s">
        <v>96</v>
      </c>
      <c r="D157" s="180"/>
      <c r="E157" s="181"/>
      <c r="F157" s="206"/>
      <c r="G157" s="151">
        <f>G146</f>
        <v>0</v>
      </c>
    </row>
    <row r="158" spans="1:10" x14ac:dyDescent="0.3">
      <c r="B158" s="176"/>
      <c r="C158" s="153" t="s">
        <v>92</v>
      </c>
      <c r="D158" s="180"/>
      <c r="E158" s="181"/>
      <c r="F158" s="206"/>
      <c r="G158" s="151">
        <f>-G151</f>
        <v>0</v>
      </c>
    </row>
    <row r="159" spans="1:10" x14ac:dyDescent="0.3">
      <c r="B159" s="176"/>
      <c r="C159" s="153" t="s">
        <v>93</v>
      </c>
      <c r="D159" s="180"/>
      <c r="E159" s="181"/>
      <c r="F159" s="206"/>
      <c r="G159" s="151">
        <f>-G152</f>
        <v>0</v>
      </c>
    </row>
    <row r="160" spans="1:10" x14ac:dyDescent="0.3">
      <c r="B160" s="176"/>
      <c r="C160" s="170" t="s">
        <v>97</v>
      </c>
      <c r="D160" s="180"/>
      <c r="E160" s="181"/>
      <c r="F160" s="206"/>
      <c r="G160" s="151">
        <f>SUM(G156:G159)</f>
        <v>0</v>
      </c>
    </row>
  </sheetData>
  <mergeCells count="11">
    <mergeCell ref="A38:A39"/>
    <mergeCell ref="B38:B39"/>
    <mergeCell ref="B73:B74"/>
    <mergeCell ref="B110:B111"/>
    <mergeCell ref="B134:B135"/>
    <mergeCell ref="A4:A5"/>
    <mergeCell ref="G4:G5"/>
    <mergeCell ref="G38:G39"/>
    <mergeCell ref="A73:A74"/>
    <mergeCell ref="G73:G74"/>
    <mergeCell ref="B4:B5"/>
  </mergeCells>
  <printOptions horizontalCentered="1" verticalCentered="1"/>
  <pageMargins left="0.5" right="0.5" top="0.5" bottom="0.5" header="0.5" footer="0.5"/>
  <pageSetup scale="24" orientation="landscape" r:id="rId1"/>
  <headerFooter alignWithMargins="0"/>
  <ignoredErrors>
    <ignoredError sqref="G6 G35" formulaRang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5DF28-9C16-4A0C-A7BF-A885B6BD44DE}">
  <sheetPr codeName="Sheet3" filterMode="1">
    <pageSetUpPr fitToPage="1"/>
  </sheetPr>
  <dimension ref="A1:S26"/>
  <sheetViews>
    <sheetView view="pageBreakPreview" zoomScaleNormal="77" zoomScaleSheetLayoutView="100" workbookViewId="0">
      <selection activeCell="F14" sqref="F14"/>
    </sheetView>
  </sheetViews>
  <sheetFormatPr defaultRowHeight="15.6" x14ac:dyDescent="0.3"/>
  <cols>
    <col min="1" max="1" width="8.26953125" style="430" customWidth="1"/>
    <col min="2" max="2" width="4.81640625" style="431" customWidth="1"/>
    <col min="3" max="3" width="10.54296875" style="431" customWidth="1"/>
    <col min="4" max="4" width="10.6328125" style="431" customWidth="1"/>
    <col min="5" max="5" width="12.54296875" style="431" customWidth="1"/>
    <col min="6" max="6" width="13.36328125" style="431" bestFit="1" customWidth="1"/>
    <col min="7" max="7" width="14.1796875" style="431" customWidth="1"/>
    <col min="8" max="8" width="17.1796875" style="431" bestFit="1" customWidth="1"/>
    <col min="9" max="9" width="8.81640625" style="431" bestFit="1" customWidth="1"/>
    <col min="10" max="10" width="10.6328125" style="431" customWidth="1"/>
    <col min="11" max="11" width="6.81640625" style="431" customWidth="1"/>
    <col min="12" max="12" width="13.54296875" style="431" bestFit="1" customWidth="1"/>
    <col min="13" max="13" width="15.36328125" style="431" bestFit="1" customWidth="1"/>
    <col min="14" max="14" width="13.36328125" style="431" customWidth="1"/>
    <col min="15" max="15" width="11.36328125" style="431" customWidth="1"/>
    <col min="16" max="16" width="14.08984375" style="431" bestFit="1" customWidth="1"/>
    <col min="17" max="17" width="21.7265625" style="431" customWidth="1"/>
    <col min="18" max="18" width="13.1796875" style="434" customWidth="1"/>
    <col min="19" max="19" width="8.7265625" style="431"/>
    <col min="20" max="20" width="12.36328125" style="431" bestFit="1" customWidth="1"/>
    <col min="21" max="16384" width="8.7265625" style="431"/>
  </cols>
  <sheetData>
    <row r="1" spans="1:19" x14ac:dyDescent="0.3">
      <c r="C1" s="432"/>
      <c r="D1" s="432"/>
      <c r="E1" s="432"/>
      <c r="K1" s="433"/>
    </row>
    <row r="2" spans="1:19" ht="9" customHeight="1" x14ac:dyDescent="0.3">
      <c r="K2" s="433"/>
      <c r="L2" s="435"/>
      <c r="M2" s="436"/>
      <c r="N2" s="436"/>
      <c r="O2" s="436"/>
      <c r="P2" s="436"/>
    </row>
    <row r="3" spans="1:19" ht="21" customHeight="1" thickBot="1" x14ac:dyDescent="0.35">
      <c r="A3" s="437"/>
      <c r="B3" s="438" t="s">
        <v>219</v>
      </c>
      <c r="C3" s="439"/>
      <c r="D3" s="439"/>
      <c r="E3" s="439"/>
      <c r="F3" s="439"/>
      <c r="G3" s="440"/>
      <c r="I3" s="441"/>
      <c r="J3" s="442" t="s">
        <v>220</v>
      </c>
      <c r="K3" s="443"/>
      <c r="L3" s="444" t="s">
        <v>221</v>
      </c>
      <c r="M3" s="445"/>
      <c r="N3" s="445"/>
      <c r="O3" s="445"/>
      <c r="P3" s="445"/>
      <c r="Q3" s="445"/>
    </row>
    <row r="4" spans="1:19" s="455" customFormat="1" ht="16.5" customHeight="1" thickBot="1" x14ac:dyDescent="0.35">
      <c r="A4" s="446"/>
      <c r="B4" s="447"/>
      <c r="C4" s="447"/>
      <c r="D4" s="447"/>
      <c r="E4" s="447"/>
      <c r="F4" s="447"/>
      <c r="G4" s="447"/>
      <c r="H4" s="448" t="s">
        <v>222</v>
      </c>
      <c r="I4" s="449">
        <f ca="1">TODAY()</f>
        <v>46203</v>
      </c>
      <c r="J4" s="450"/>
      <c r="K4" s="451">
        <v>282.60000000000002</v>
      </c>
      <c r="L4" s="452"/>
      <c r="M4" s="453"/>
      <c r="N4" s="453"/>
      <c r="O4" s="453"/>
      <c r="P4" s="453"/>
      <c r="Q4" s="453"/>
      <c r="R4" s="454"/>
    </row>
    <row r="5" spans="1:19" x14ac:dyDescent="0.3">
      <c r="A5" s="437"/>
      <c r="B5" s="437"/>
      <c r="C5" s="456"/>
      <c r="D5" s="456"/>
      <c r="E5" s="456"/>
      <c r="F5" s="457"/>
      <c r="G5" s="458"/>
      <c r="H5" s="459"/>
      <c r="J5" s="460"/>
      <c r="K5" s="461"/>
      <c r="L5" s="462"/>
      <c r="M5" s="463"/>
      <c r="N5" s="463"/>
      <c r="O5" s="463"/>
      <c r="P5" s="463"/>
      <c r="Q5" s="463"/>
    </row>
    <row r="6" spans="1:19" x14ac:dyDescent="0.3">
      <c r="A6" s="464" t="s">
        <v>223</v>
      </c>
      <c r="B6" s="465"/>
      <c r="C6" s="466" t="s">
        <v>224</v>
      </c>
      <c r="D6" s="466" t="s">
        <v>225</v>
      </c>
      <c r="E6" s="466" t="s">
        <v>226</v>
      </c>
      <c r="F6" s="467" t="s">
        <v>227</v>
      </c>
      <c r="G6" s="468" t="s">
        <v>228</v>
      </c>
      <c r="H6" s="469" t="s">
        <v>229</v>
      </c>
      <c r="I6" s="470" t="s">
        <v>230</v>
      </c>
      <c r="J6" s="469"/>
      <c r="K6" s="469"/>
      <c r="L6" s="469" t="s">
        <v>231</v>
      </c>
      <c r="M6" s="469" t="s">
        <v>232</v>
      </c>
      <c r="N6" s="469" t="s">
        <v>233</v>
      </c>
      <c r="O6" s="469" t="s">
        <v>234</v>
      </c>
      <c r="P6" s="469" t="s">
        <v>235</v>
      </c>
      <c r="Q6" s="469" t="s">
        <v>236</v>
      </c>
    </row>
    <row r="7" spans="1:19" x14ac:dyDescent="0.3">
      <c r="A7" s="471" t="s">
        <v>237</v>
      </c>
      <c r="B7" s="472"/>
      <c r="C7" s="473"/>
      <c r="D7" s="474" t="s">
        <v>238</v>
      </c>
      <c r="E7" s="474" t="s">
        <v>100</v>
      </c>
      <c r="F7" s="467" t="s">
        <v>239</v>
      </c>
      <c r="G7" s="475"/>
      <c r="H7" s="476" t="s">
        <v>240</v>
      </c>
      <c r="I7" s="477"/>
      <c r="J7" s="476"/>
      <c r="K7" s="476"/>
      <c r="L7" s="476" t="s">
        <v>241</v>
      </c>
      <c r="M7" s="476" t="s">
        <v>242</v>
      </c>
      <c r="N7" s="476" t="s">
        <v>243</v>
      </c>
      <c r="O7" s="476" t="s">
        <v>244</v>
      </c>
      <c r="P7" s="476" t="s">
        <v>245</v>
      </c>
      <c r="Q7" s="476" t="s">
        <v>246</v>
      </c>
    </row>
    <row r="8" spans="1:19" s="486" customFormat="1" hidden="1" x14ac:dyDescent="0.3">
      <c r="A8" s="478" t="s">
        <v>192</v>
      </c>
      <c r="B8" s="478"/>
      <c r="C8" s="485">
        <v>45628</v>
      </c>
      <c r="D8" s="478">
        <v>90</v>
      </c>
      <c r="E8" s="485">
        <f>+C8+D8</f>
        <v>45718</v>
      </c>
      <c r="F8" s="479">
        <v>171300.42</v>
      </c>
      <c r="G8" s="481">
        <f>F8*H8</f>
        <v>47698601.949000001</v>
      </c>
      <c r="H8" s="484">
        <v>278.45</v>
      </c>
      <c r="I8" s="478">
        <v>90</v>
      </c>
      <c r="J8" s="480"/>
      <c r="K8" s="480"/>
      <c r="L8" s="483">
        <f>G8*P21/36500</f>
        <v>15564.119156509314</v>
      </c>
      <c r="M8" s="483">
        <f>L8*I8</f>
        <v>1400770.7240858383</v>
      </c>
      <c r="N8" s="483">
        <f>M8-K8</f>
        <v>1400770.7240858383</v>
      </c>
      <c r="O8" s="483">
        <f>H8-R8</f>
        <v>-2.1500000000000341</v>
      </c>
      <c r="P8" s="483">
        <f>O8*F8</f>
        <v>-368295.90300000587</v>
      </c>
      <c r="Q8" s="483">
        <f>N8+P8</f>
        <v>1032474.8210858324</v>
      </c>
      <c r="R8" s="454">
        <v>280.60000000000002</v>
      </c>
      <c r="S8" s="482" t="s">
        <v>251</v>
      </c>
    </row>
    <row r="9" spans="1:19" s="486" customFormat="1" hidden="1" x14ac:dyDescent="0.3">
      <c r="A9" s="478" t="s">
        <v>192</v>
      </c>
      <c r="B9" s="478"/>
      <c r="C9" s="485">
        <v>45657</v>
      </c>
      <c r="D9" s="478">
        <v>90</v>
      </c>
      <c r="E9" s="485">
        <f>+C9+D9</f>
        <v>45747</v>
      </c>
      <c r="F9" s="479">
        <v>499694.83</v>
      </c>
      <c r="G9" s="481">
        <f>F9*H9</f>
        <v>19083345.557700001</v>
      </c>
      <c r="H9" s="484">
        <v>38.19</v>
      </c>
      <c r="I9" s="478">
        <v>90</v>
      </c>
      <c r="J9" s="480"/>
      <c r="K9" s="480"/>
      <c r="L9" s="483">
        <f>G9*P21/36500</f>
        <v>6226.9217970467671</v>
      </c>
      <c r="M9" s="483">
        <f>L9*I9</f>
        <v>560422.96173420909</v>
      </c>
      <c r="N9" s="483">
        <f>M9-K9</f>
        <v>560422.96173420909</v>
      </c>
      <c r="O9" s="483">
        <f>H9-R9</f>
        <v>-0.56000000000000227</v>
      </c>
      <c r="P9" s="483">
        <f>O9*F9</f>
        <v>-279829.10480000114</v>
      </c>
      <c r="Q9" s="483">
        <f>N9+P9</f>
        <v>280593.85693420796</v>
      </c>
      <c r="R9" s="454">
        <v>38.75</v>
      </c>
      <c r="S9" s="482" t="s">
        <v>254</v>
      </c>
    </row>
    <row r="10" spans="1:19" s="486" customFormat="1" hidden="1" x14ac:dyDescent="0.3">
      <c r="A10" s="478" t="s">
        <v>172</v>
      </c>
      <c r="B10" s="478"/>
      <c r="C10" s="485">
        <f>E10-D10</f>
        <v>45757</v>
      </c>
      <c r="D10" s="478">
        <v>90</v>
      </c>
      <c r="E10" s="485">
        <v>45847</v>
      </c>
      <c r="F10" s="483">
        <v>351522</v>
      </c>
      <c r="G10" s="481">
        <f>+F10*H10</f>
        <v>98830410.299999997</v>
      </c>
      <c r="H10" s="484">
        <v>281.14999999999998</v>
      </c>
      <c r="I10" s="478">
        <v>90</v>
      </c>
      <c r="J10" s="480"/>
      <c r="K10" s="480"/>
      <c r="L10" s="483">
        <f>G10*P23/36500</f>
        <v>33412.80172882192</v>
      </c>
      <c r="M10" s="483">
        <f>L10*I10</f>
        <v>3007152.1555939727</v>
      </c>
      <c r="N10" s="483">
        <f>M10-K10</f>
        <v>3007152.1555939727</v>
      </c>
      <c r="O10" s="483">
        <f>H10-R10</f>
        <v>-5.3500000000000227</v>
      </c>
      <c r="P10" s="483">
        <f>O10*F10</f>
        <v>-1880642.7000000081</v>
      </c>
      <c r="Q10" s="483">
        <f>N10+P10</f>
        <v>1126509.4555939646</v>
      </c>
      <c r="R10" s="526">
        <v>286.5</v>
      </c>
      <c r="S10" s="482" t="s">
        <v>255</v>
      </c>
    </row>
    <row r="11" spans="1:19" s="486" customFormat="1" ht="15" hidden="1" customHeight="1" x14ac:dyDescent="0.3">
      <c r="A11" s="478" t="s">
        <v>196</v>
      </c>
      <c r="B11" s="478"/>
      <c r="C11" s="485">
        <f>E11-D11</f>
        <v>45762</v>
      </c>
      <c r="D11" s="478">
        <v>90</v>
      </c>
      <c r="E11" s="485">
        <v>45852</v>
      </c>
      <c r="F11" s="483">
        <v>209393.91</v>
      </c>
      <c r="G11" s="481">
        <f>+F11*H11</f>
        <v>58839688.710000001</v>
      </c>
      <c r="H11" s="484">
        <v>281</v>
      </c>
      <c r="I11" s="478">
        <v>90</v>
      </c>
      <c r="J11" s="480"/>
      <c r="K11" s="480"/>
      <c r="L11" s="483">
        <f>G11*P21/36500</f>
        <v>19199.471028386302</v>
      </c>
      <c r="M11" s="483">
        <f>L11*I11</f>
        <v>1727952.3925547672</v>
      </c>
      <c r="N11" s="483">
        <f>M11-K11</f>
        <v>1727952.3925547672</v>
      </c>
      <c r="O11" s="483">
        <f>H11-R11</f>
        <v>-5.3999999999999773</v>
      </c>
      <c r="P11" s="483">
        <f>O11*F11</f>
        <v>-1130727.1139999952</v>
      </c>
      <c r="Q11" s="483">
        <f>N11+P11</f>
        <v>597225.27855477203</v>
      </c>
      <c r="R11" s="526">
        <v>286.39999999999998</v>
      </c>
      <c r="S11" s="482" t="s">
        <v>255</v>
      </c>
    </row>
    <row r="12" spans="1:19" s="486" customFormat="1" ht="28.8" hidden="1" customHeight="1" x14ac:dyDescent="0.3">
      <c r="A12" s="478" t="s">
        <v>196</v>
      </c>
      <c r="B12" s="478"/>
      <c r="C12" s="485">
        <f>E12-D12</f>
        <v>45767</v>
      </c>
      <c r="D12" s="478">
        <v>90</v>
      </c>
      <c r="E12" s="485">
        <v>45857</v>
      </c>
      <c r="F12" s="483">
        <v>144183.6</v>
      </c>
      <c r="G12" s="481">
        <f>+F12*H12</f>
        <v>41250927.960000008</v>
      </c>
      <c r="H12" s="484">
        <v>286.10000000000002</v>
      </c>
      <c r="I12" s="478">
        <v>90</v>
      </c>
      <c r="J12" s="480"/>
      <c r="K12" s="480"/>
      <c r="L12" s="483">
        <f>G12*P21/36500</f>
        <v>13460.234301468496</v>
      </c>
      <c r="M12" s="483">
        <f>L12*I12</f>
        <v>1211421.0871321645</v>
      </c>
      <c r="N12" s="483">
        <f>M12-K12</f>
        <v>1211421.0871321645</v>
      </c>
      <c r="O12" s="483">
        <f>H12-R12</f>
        <v>0</v>
      </c>
      <c r="P12" s="483">
        <f>O12*F12</f>
        <v>0</v>
      </c>
      <c r="Q12" s="483">
        <f>N12+P12</f>
        <v>1211421.0871321645</v>
      </c>
      <c r="R12" s="526">
        <v>286.10000000000002</v>
      </c>
      <c r="S12" s="482" t="s">
        <v>255</v>
      </c>
    </row>
    <row r="13" spans="1:19" x14ac:dyDescent="0.3">
      <c r="A13" s="437"/>
      <c r="B13" s="487"/>
      <c r="C13" s="488" t="s">
        <v>104</v>
      </c>
      <c r="D13" s="488"/>
      <c r="E13" s="488"/>
      <c r="F13" s="489">
        <f>SUBTOTAL(9,F10:F11)</f>
        <v>0</v>
      </c>
      <c r="G13" s="489"/>
      <c r="H13" s="489"/>
      <c r="I13" s="489"/>
      <c r="J13" s="489"/>
      <c r="K13" s="489"/>
      <c r="L13" s="489">
        <f t="shared" ref="L13:Q13" si="0">SUBTOTAL(9,L10:L11)</f>
        <v>0</v>
      </c>
      <c r="M13" s="489">
        <f t="shared" si="0"/>
        <v>0</v>
      </c>
      <c r="N13" s="489">
        <f t="shared" si="0"/>
        <v>0</v>
      </c>
      <c r="O13" s="489">
        <f t="shared" si="0"/>
        <v>0</v>
      </c>
      <c r="P13" s="489">
        <f t="shared" si="0"/>
        <v>0</v>
      </c>
      <c r="Q13" s="489">
        <f t="shared" si="0"/>
        <v>0</v>
      </c>
    </row>
    <row r="14" spans="1:19" x14ac:dyDescent="0.3">
      <c r="F14" s="490">
        <f t="array" ref="F14:F15">F12:F13</f>
        <v>144183.6</v>
      </c>
      <c r="G14" s="490"/>
    </row>
    <row r="15" spans="1:19" ht="16.2" thickBot="1" x14ac:dyDescent="0.35">
      <c r="F15" s="490">
        <v>0</v>
      </c>
      <c r="G15" s="490"/>
      <c r="K15" s="491"/>
    </row>
    <row r="16" spans="1:19" ht="15" customHeight="1" x14ac:dyDescent="0.3">
      <c r="G16" s="490"/>
      <c r="L16" s="492"/>
      <c r="M16" s="493"/>
      <c r="N16" s="493"/>
      <c r="O16" s="494"/>
      <c r="P16" s="495"/>
    </row>
    <row r="17" spans="7:16" x14ac:dyDescent="0.3">
      <c r="G17" s="496"/>
      <c r="L17" s="497" t="s">
        <v>247</v>
      </c>
      <c r="M17" s="508"/>
      <c r="N17" s="508"/>
      <c r="O17" s="498"/>
      <c r="P17" s="499"/>
    </row>
    <row r="18" spans="7:16" x14ac:dyDescent="0.3">
      <c r="G18" s="490"/>
      <c r="I18" s="500"/>
      <c r="L18" s="501" t="s">
        <v>248</v>
      </c>
      <c r="M18" s="502">
        <v>11.34</v>
      </c>
      <c r="N18" s="508"/>
      <c r="O18" s="508"/>
      <c r="P18" s="511"/>
    </row>
    <row r="19" spans="7:16" x14ac:dyDescent="0.3">
      <c r="G19" s="490"/>
      <c r="L19" s="501" t="s">
        <v>249</v>
      </c>
      <c r="M19" s="502">
        <v>11.15</v>
      </c>
      <c r="N19" s="510"/>
      <c r="O19" s="503"/>
      <c r="P19" s="499"/>
    </row>
    <row r="20" spans="7:16" x14ac:dyDescent="0.3">
      <c r="L20" s="501" t="s">
        <v>250</v>
      </c>
      <c r="M20" s="502">
        <v>11.16</v>
      </c>
      <c r="N20" s="510"/>
      <c r="O20" s="503"/>
      <c r="P20" s="499"/>
    </row>
    <row r="21" spans="7:16" x14ac:dyDescent="0.3">
      <c r="L21" s="504"/>
      <c r="M21" s="508"/>
      <c r="N21" s="508" t="s">
        <v>192</v>
      </c>
      <c r="O21" s="498">
        <v>0.75</v>
      </c>
      <c r="P21" s="499">
        <f>M20+O21</f>
        <v>11.91</v>
      </c>
    </row>
    <row r="22" spans="7:16" x14ac:dyDescent="0.3">
      <c r="L22" s="504"/>
      <c r="M22" s="508"/>
      <c r="N22" s="508" t="s">
        <v>198</v>
      </c>
      <c r="O22" s="498">
        <v>0.5</v>
      </c>
      <c r="P22" s="499">
        <f>+O22+M20</f>
        <v>11.66</v>
      </c>
    </row>
    <row r="23" spans="7:16" x14ac:dyDescent="0.3">
      <c r="L23" s="504"/>
      <c r="M23" s="508"/>
      <c r="N23" s="508" t="s">
        <v>172</v>
      </c>
      <c r="O23" s="498">
        <v>1</v>
      </c>
      <c r="P23" s="499">
        <f>O23+M18</f>
        <v>12.34</v>
      </c>
    </row>
    <row r="24" spans="7:16" ht="16.2" thickBot="1" x14ac:dyDescent="0.35">
      <c r="L24" s="505"/>
      <c r="M24" s="506"/>
      <c r="N24" s="512" t="s">
        <v>51</v>
      </c>
      <c r="O24" s="513">
        <v>1</v>
      </c>
      <c r="P24" s="507">
        <f>M19+O24</f>
        <v>12.15</v>
      </c>
    </row>
    <row r="25" spans="7:16" x14ac:dyDescent="0.3">
      <c r="L25" s="508"/>
      <c r="M25" s="508"/>
      <c r="N25" s="508"/>
      <c r="O25" s="498"/>
      <c r="P25" s="509"/>
    </row>
    <row r="26" spans="7:16" x14ac:dyDescent="0.3">
      <c r="L26" s="508"/>
      <c r="M26" s="508"/>
      <c r="N26" s="508"/>
      <c r="O26" s="498"/>
      <c r="P26" s="509"/>
    </row>
  </sheetData>
  <autoFilter ref="A7:S8" xr:uid="{362A1723-80AE-43CD-BCFE-45C521CD9A5D}">
    <filterColumn colId="18">
      <filters>
        <filter val="Open"/>
      </filters>
    </filterColumn>
    <sortState xmlns:xlrd2="http://schemas.microsoft.com/office/spreadsheetml/2017/richdata2" ref="A8:S7">
      <sortCondition ref="E7"/>
    </sortState>
  </autoFilter>
  <pageMargins left="0" right="0.23622047244094491" top="0.78740157480314965" bottom="0" header="0.51181102362204722" footer="0.51181102362204722"/>
  <pageSetup scale="5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50492-8A99-4DA6-BD52-AFB57F9165C0}">
  <sheetPr codeName="Sheet4"/>
  <dimension ref="A1:B47"/>
  <sheetViews>
    <sheetView view="pageBreakPreview" zoomScaleNormal="100" zoomScaleSheetLayoutView="100" workbookViewId="0">
      <selection activeCell="B31" sqref="B31"/>
    </sheetView>
  </sheetViews>
  <sheetFormatPr defaultRowHeight="15" x14ac:dyDescent="0.25"/>
  <cols>
    <col min="1" max="1" width="19.90625" bestFit="1" customWidth="1"/>
    <col min="2" max="2" width="15.6328125" customWidth="1"/>
  </cols>
  <sheetData>
    <row r="1" spans="1:2" ht="6.6" customHeight="1" x14ac:dyDescent="0.25">
      <c r="A1" s="700"/>
      <c r="B1" s="701"/>
    </row>
    <row r="2" spans="1:2" ht="15.6" x14ac:dyDescent="0.3">
      <c r="A2" s="698" t="s">
        <v>186</v>
      </c>
      <c r="B2" s="699"/>
    </row>
    <row r="3" spans="1:2" ht="15.6" x14ac:dyDescent="0.3">
      <c r="A3" s="698" t="s">
        <v>53</v>
      </c>
      <c r="B3" s="699"/>
    </row>
    <row r="4" spans="1:2" ht="15.6" x14ac:dyDescent="0.3">
      <c r="A4" s="696">
        <v>46167</v>
      </c>
      <c r="B4" s="697"/>
    </row>
    <row r="5" spans="1:2" ht="31.2" x14ac:dyDescent="0.25">
      <c r="A5" s="330" t="s">
        <v>194</v>
      </c>
      <c r="B5" s="331" t="s">
        <v>193</v>
      </c>
    </row>
    <row r="6" spans="1:2" ht="13.2" hidden="1" customHeight="1" thickBot="1" x14ac:dyDescent="0.3">
      <c r="A6" s="332"/>
      <c r="B6" s="333"/>
    </row>
    <row r="7" spans="1:2" ht="15.6" hidden="1" x14ac:dyDescent="0.25">
      <c r="A7" s="334" t="s">
        <v>132</v>
      </c>
      <c r="B7" s="335">
        <v>0</v>
      </c>
    </row>
    <row r="8" spans="1:2" ht="15.6" hidden="1" x14ac:dyDescent="0.25">
      <c r="A8" s="336" t="s">
        <v>133</v>
      </c>
      <c r="B8" s="337">
        <v>0</v>
      </c>
    </row>
    <row r="9" spans="1:2" ht="15.6" hidden="1" x14ac:dyDescent="0.25">
      <c r="A9" s="336" t="s">
        <v>134</v>
      </c>
      <c r="B9" s="337">
        <v>0</v>
      </c>
    </row>
    <row r="10" spans="1:2" ht="19.8" hidden="1" customHeight="1" thickBot="1" x14ac:dyDescent="0.3">
      <c r="A10" s="336" t="s">
        <v>135</v>
      </c>
      <c r="B10" s="337">
        <v>0</v>
      </c>
    </row>
    <row r="11" spans="1:2" ht="12.6" customHeight="1" x14ac:dyDescent="0.25">
      <c r="A11" s="338"/>
      <c r="B11" s="339"/>
    </row>
    <row r="12" spans="1:2" ht="25.05" customHeight="1" x14ac:dyDescent="0.25">
      <c r="A12" s="340" t="s">
        <v>190</v>
      </c>
      <c r="B12" s="341">
        <f>'BORROWING SUMMARY '!J7/1000000</f>
        <v>1192</v>
      </c>
    </row>
    <row r="13" spans="1:2" ht="23.4" customHeight="1" x14ac:dyDescent="0.25">
      <c r="A13" s="340" t="s">
        <v>170</v>
      </c>
      <c r="B13" s="342">
        <f>'BORROWING SUMMARY '!J8/1000000</f>
        <v>205.17316550000001</v>
      </c>
    </row>
    <row r="14" spans="1:2" ht="23.4" customHeight="1" x14ac:dyDescent="0.25">
      <c r="A14" s="340" t="s">
        <v>191</v>
      </c>
      <c r="B14" s="341">
        <f>B12-B13-B17</f>
        <v>255.46892482249996</v>
      </c>
    </row>
    <row r="15" spans="1:2" ht="13.2" customHeight="1" x14ac:dyDescent="0.25">
      <c r="A15" s="338"/>
      <c r="B15" s="339"/>
    </row>
    <row r="16" spans="1:2" ht="21" customHeight="1" x14ac:dyDescent="0.25">
      <c r="A16" s="343" t="s">
        <v>136</v>
      </c>
      <c r="B16" s="344">
        <f>'BORROWING SUMMARY '!J15/1000000</f>
        <v>1342</v>
      </c>
    </row>
    <row r="17" spans="1:2" ht="15.6" x14ac:dyDescent="0.25">
      <c r="A17" s="343" t="s">
        <v>137</v>
      </c>
      <c r="B17" s="344">
        <f>'BORROWING SUMMARY '!J16/1000000</f>
        <v>731.35790967750006</v>
      </c>
    </row>
    <row r="18" spans="1:2" ht="12" customHeight="1" x14ac:dyDescent="0.25">
      <c r="A18" s="338"/>
      <c r="B18" s="339"/>
    </row>
    <row r="19" spans="1:2" ht="15.6" hidden="1" x14ac:dyDescent="0.25">
      <c r="A19" s="345" t="s">
        <v>138</v>
      </c>
      <c r="B19" s="346">
        <v>0</v>
      </c>
    </row>
    <row r="20" spans="1:2" ht="19.8" hidden="1" customHeight="1" thickBot="1" x14ac:dyDescent="0.3">
      <c r="A20" s="345" t="s">
        <v>139</v>
      </c>
      <c r="B20" s="347">
        <v>0</v>
      </c>
    </row>
    <row r="21" spans="1:2" ht="19.8" hidden="1" customHeight="1" thickBot="1" x14ac:dyDescent="0.3">
      <c r="A21" s="345" t="s">
        <v>140</v>
      </c>
      <c r="B21" s="347">
        <v>0</v>
      </c>
    </row>
    <row r="22" spans="1:2" ht="21.6" hidden="1" customHeight="1" thickBot="1" x14ac:dyDescent="0.3">
      <c r="A22" s="345" t="s">
        <v>141</v>
      </c>
      <c r="B22" s="347">
        <v>0</v>
      </c>
    </row>
    <row r="23" spans="1:2" ht="13.2" hidden="1" customHeight="1" thickBot="1" x14ac:dyDescent="0.3">
      <c r="A23" s="338"/>
      <c r="B23" s="339"/>
    </row>
    <row r="24" spans="1:2" ht="15.6" x14ac:dyDescent="0.25">
      <c r="A24" s="348" t="s">
        <v>142</v>
      </c>
      <c r="B24" s="349">
        <f>'BORROWING SUMMARY '!J21/1000000</f>
        <v>300</v>
      </c>
    </row>
    <row r="25" spans="1:2" ht="15.6" x14ac:dyDescent="0.25">
      <c r="A25" s="348" t="s">
        <v>177</v>
      </c>
      <c r="B25" s="337">
        <f>'BORROWING SUMMARY '!J22/1000000</f>
        <v>98.406124869999999</v>
      </c>
    </row>
    <row r="26" spans="1:2" ht="15.6" x14ac:dyDescent="0.25">
      <c r="A26" s="348" t="s">
        <v>178</v>
      </c>
      <c r="B26" s="337">
        <f>+B24-B25</f>
        <v>201.59387513000001</v>
      </c>
    </row>
    <row r="27" spans="1:2" ht="14.4" customHeight="1" x14ac:dyDescent="0.25">
      <c r="A27" s="350"/>
      <c r="B27" s="351"/>
    </row>
    <row r="28" spans="1:2" ht="15.6" x14ac:dyDescent="0.25">
      <c r="A28" s="352" t="s">
        <v>143</v>
      </c>
      <c r="B28" s="337">
        <f>'PICL-LT'!E35/1000000</f>
        <v>153.61006599999999</v>
      </c>
    </row>
    <row r="29" spans="1:2" ht="12.6" customHeight="1" x14ac:dyDescent="0.25">
      <c r="A29" s="350"/>
      <c r="B29" s="351"/>
    </row>
    <row r="30" spans="1:2" ht="15.6" x14ac:dyDescent="0.25">
      <c r="A30" s="348" t="s">
        <v>144</v>
      </c>
      <c r="B30" s="337">
        <f>'FINANCIAL COST SUMMARY '!E18/1000000/30*10</f>
        <v>3.3438117573137944</v>
      </c>
    </row>
    <row r="31" spans="1:2" ht="12.6" customHeight="1" x14ac:dyDescent="0.25">
      <c r="A31" s="353"/>
      <c r="B31" s="354"/>
    </row>
    <row r="32" spans="1:2" s="124" customFormat="1" ht="22.2" customHeight="1" x14ac:dyDescent="0.25">
      <c r="A32" s="355" t="s">
        <v>171</v>
      </c>
      <c r="B32" s="356">
        <v>0</v>
      </c>
    </row>
    <row r="33" spans="1:2" ht="12.6" customHeight="1" x14ac:dyDescent="0.25">
      <c r="A33" s="353"/>
      <c r="B33" s="354"/>
    </row>
    <row r="34" spans="1:2" ht="15.6" x14ac:dyDescent="0.3">
      <c r="A34" s="357" t="s">
        <v>101</v>
      </c>
      <c r="B34" s="337">
        <f>'INFLOW-OUTFLOW SUMMARY'!B39/1000000</f>
        <v>82.507401999999999</v>
      </c>
    </row>
    <row r="35" spans="1:2" ht="15.6" x14ac:dyDescent="0.3">
      <c r="A35" s="357" t="s">
        <v>102</v>
      </c>
      <c r="B35" s="337">
        <f>'INFLOW-OUTFLOW SUMMARY'!D39/1000000</f>
        <v>24.711492400000001</v>
      </c>
    </row>
    <row r="36" spans="1:2" ht="12.6" customHeight="1" x14ac:dyDescent="0.25">
      <c r="A36" s="358"/>
      <c r="B36" s="359"/>
    </row>
    <row r="37" spans="1:2" ht="15.6" x14ac:dyDescent="0.25">
      <c r="A37" s="352" t="s">
        <v>145</v>
      </c>
      <c r="B37" s="411">
        <v>87.259</v>
      </c>
    </row>
    <row r="38" spans="1:2" ht="15.6" x14ac:dyDescent="0.25">
      <c r="A38" s="352" t="s">
        <v>146</v>
      </c>
      <c r="B38" s="411">
        <v>523.44799999999998</v>
      </c>
    </row>
    <row r="39" spans="1:2" ht="15.6" x14ac:dyDescent="0.25">
      <c r="A39" s="352" t="s">
        <v>147</v>
      </c>
      <c r="B39" s="412">
        <v>627.41999999999996</v>
      </c>
    </row>
    <row r="40" spans="1:2" ht="15.6" x14ac:dyDescent="0.25">
      <c r="A40" s="352" t="s">
        <v>104</v>
      </c>
      <c r="B40" s="413">
        <f>+B37+B38+B39</f>
        <v>1238.127</v>
      </c>
    </row>
    <row r="41" spans="1:2" ht="12.6" customHeight="1" x14ac:dyDescent="0.25">
      <c r="A41" s="360"/>
      <c r="B41" s="361"/>
    </row>
    <row r="42" spans="1:2" ht="15.6" x14ac:dyDescent="0.25">
      <c r="A42" s="348" t="s">
        <v>148</v>
      </c>
      <c r="B42" s="362" t="s">
        <v>282</v>
      </c>
    </row>
    <row r="43" spans="1:2" ht="15.6" x14ac:dyDescent="0.25">
      <c r="A43" s="348" t="s">
        <v>149</v>
      </c>
      <c r="B43" s="363">
        <v>278.5</v>
      </c>
    </row>
    <row r="44" spans="1:2" ht="15.6" x14ac:dyDescent="0.25">
      <c r="A44" s="348" t="s">
        <v>148</v>
      </c>
      <c r="B44" s="362" t="s">
        <v>283</v>
      </c>
    </row>
    <row r="45" spans="1:2" ht="15.6" x14ac:dyDescent="0.25">
      <c r="A45" s="348" t="s">
        <v>149</v>
      </c>
      <c r="B45" s="363">
        <v>323.14999999999998</v>
      </c>
    </row>
    <row r="46" spans="1:2" ht="15.6" x14ac:dyDescent="0.25">
      <c r="A46" s="348" t="s">
        <v>148</v>
      </c>
      <c r="B46" s="362" t="s">
        <v>284</v>
      </c>
    </row>
    <row r="47" spans="1:2" ht="16.2" thickBot="1" x14ac:dyDescent="0.3">
      <c r="A47" s="366" t="s">
        <v>149</v>
      </c>
      <c r="B47" s="364">
        <v>40.869999999999997</v>
      </c>
    </row>
  </sheetData>
  <mergeCells count="4">
    <mergeCell ref="A4:B4"/>
    <mergeCell ref="A3:B3"/>
    <mergeCell ref="A2:B2"/>
    <mergeCell ref="A1:B1"/>
  </mergeCells>
  <printOptions horizontalCentered="1" verticalCentered="1"/>
  <pageMargins left="0.7" right="0.7" top="0.75" bottom="0.75" header="0.3" footer="0.3"/>
  <pageSetup scale="9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1F8F1-93DE-4DE6-AD82-BBBC40233F88}">
  <sheetPr codeName="Sheet5"/>
  <dimension ref="A1:BJ45"/>
  <sheetViews>
    <sheetView tabSelected="1" topLeftCell="A13" zoomScaleNormal="100" workbookViewId="0">
      <selection activeCell="D40" sqref="D40"/>
    </sheetView>
  </sheetViews>
  <sheetFormatPr defaultRowHeight="15" x14ac:dyDescent="0.25"/>
  <cols>
    <col min="1" max="1" width="14.26953125" style="367" customWidth="1"/>
    <col min="2" max="2" width="16.36328125" style="367" customWidth="1"/>
    <col min="3" max="3" width="2.08984375" style="367" customWidth="1"/>
    <col min="4" max="4" width="15.7265625" style="367" customWidth="1"/>
    <col min="5" max="5" width="18.1796875" style="367" customWidth="1"/>
    <col min="6" max="6" width="1.81640625" style="367" customWidth="1"/>
    <col min="7" max="7" width="2.1796875" style="367" customWidth="1"/>
    <col min="8" max="8" width="19.54296875" style="367" customWidth="1"/>
    <col min="9" max="10" width="13.54296875" style="367" customWidth="1"/>
    <col min="11" max="11" width="14.1796875" style="367" customWidth="1"/>
    <col min="12" max="12" width="2.81640625" style="367" customWidth="1"/>
    <col min="13" max="13" width="20.36328125" style="367" customWidth="1"/>
    <col min="14" max="14" width="12.1796875" style="367" customWidth="1"/>
    <col min="15" max="15" width="13.6328125" style="367" customWidth="1"/>
    <col min="16" max="16" width="14.81640625" style="367" customWidth="1"/>
    <col min="17" max="18" width="12.6328125" style="367" customWidth="1"/>
    <col min="19" max="20" width="15.90625" style="367" customWidth="1"/>
    <col min="21" max="21" width="16" style="367" customWidth="1"/>
    <col min="22" max="22" width="14.54296875" style="367" customWidth="1"/>
    <col min="23" max="24" width="13.6328125" style="367" customWidth="1"/>
    <col min="25" max="25" width="16.08984375" style="367" customWidth="1"/>
    <col min="26" max="26" width="13.26953125" style="367" customWidth="1"/>
    <col min="27" max="27" width="8.7265625" style="374" customWidth="1"/>
    <col min="28" max="28" width="12.7265625" style="367" customWidth="1"/>
    <col min="29" max="42" width="8.7265625" style="367" customWidth="1"/>
    <col min="43" max="16384" width="8.7265625" style="367"/>
  </cols>
  <sheetData>
    <row r="1" spans="1:31" x14ac:dyDescent="0.25">
      <c r="A1" s="702"/>
      <c r="B1" s="702"/>
      <c r="C1" s="702"/>
      <c r="D1" s="702"/>
      <c r="E1" s="702"/>
      <c r="F1" s="702"/>
      <c r="G1" s="702"/>
      <c r="H1" s="702"/>
      <c r="I1" s="702"/>
      <c r="J1" s="702"/>
      <c r="K1" s="702"/>
      <c r="L1" s="702"/>
      <c r="M1" s="702"/>
      <c r="N1" s="702"/>
      <c r="O1" s="702"/>
      <c r="P1" s="702"/>
      <c r="Q1" s="702"/>
      <c r="R1" s="702"/>
      <c r="S1" s="702"/>
      <c r="T1" s="702"/>
      <c r="U1" s="702"/>
      <c r="V1" s="702"/>
      <c r="W1" s="702"/>
      <c r="X1" s="702"/>
      <c r="Y1" s="702"/>
      <c r="Z1" s="702"/>
    </row>
    <row r="2" spans="1:31" ht="40.200000000000003" customHeight="1" x14ac:dyDescent="0.35">
      <c r="A2" s="703" t="s">
        <v>187</v>
      </c>
      <c r="B2" s="703"/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703"/>
      <c r="N2" s="703"/>
      <c r="O2" s="703"/>
      <c r="P2" s="703"/>
      <c r="Q2" s="703"/>
      <c r="R2" s="703"/>
      <c r="S2" s="703"/>
      <c r="T2" s="703"/>
      <c r="U2" s="703"/>
      <c r="V2" s="703"/>
      <c r="W2" s="703"/>
      <c r="X2" s="703"/>
      <c r="Y2" s="703"/>
      <c r="Z2" s="703"/>
    </row>
    <row r="3" spans="1:31" ht="18" customHeight="1" x14ac:dyDescent="0.25">
      <c r="A3" s="704" t="s">
        <v>114</v>
      </c>
      <c r="B3" s="704"/>
      <c r="C3" s="704"/>
      <c r="D3" s="704"/>
      <c r="E3" s="704"/>
      <c r="F3" s="704"/>
      <c r="G3" s="704"/>
      <c r="H3" s="704"/>
      <c r="I3" s="704"/>
      <c r="J3" s="704"/>
      <c r="K3" s="704"/>
      <c r="L3" s="704"/>
      <c r="M3" s="704"/>
      <c r="N3" s="704"/>
      <c r="O3" s="704"/>
      <c r="P3" s="704"/>
      <c r="Q3" s="704"/>
      <c r="R3" s="704"/>
      <c r="S3" s="704"/>
      <c r="T3" s="704"/>
      <c r="U3" s="704"/>
      <c r="V3" s="704"/>
      <c r="W3" s="704"/>
      <c r="X3" s="704"/>
      <c r="Y3" s="704"/>
      <c r="Z3" s="704"/>
    </row>
    <row r="4" spans="1:31" ht="15.6" x14ac:dyDescent="0.3">
      <c r="A4" s="714" t="s">
        <v>291</v>
      </c>
      <c r="B4" s="714"/>
      <c r="C4" s="714"/>
      <c r="D4" s="714"/>
      <c r="E4" s="714"/>
      <c r="F4" s="714"/>
      <c r="G4" s="714"/>
      <c r="H4" s="714"/>
      <c r="I4" s="714"/>
      <c r="J4" s="714"/>
      <c r="K4" s="714"/>
      <c r="L4" s="714"/>
      <c r="M4" s="714"/>
      <c r="N4" s="714"/>
      <c r="O4" s="714"/>
      <c r="P4" s="714"/>
      <c r="Q4" s="714"/>
      <c r="R4" s="714"/>
      <c r="S4" s="714"/>
      <c r="T4" s="714"/>
      <c r="U4" s="714"/>
      <c r="V4" s="714"/>
      <c r="W4" s="714"/>
      <c r="X4" s="714"/>
      <c r="Y4" s="714"/>
      <c r="Z4" s="714"/>
    </row>
    <row r="5" spans="1:31" ht="15.6" x14ac:dyDescent="0.3">
      <c r="A5" s="368" t="s">
        <v>100</v>
      </c>
      <c r="B5" s="369" t="s">
        <v>101</v>
      </c>
      <c r="C5" s="369"/>
      <c r="D5" s="369" t="s">
        <v>102</v>
      </c>
      <c r="E5" s="369" t="s">
        <v>130</v>
      </c>
      <c r="H5" s="710" t="s">
        <v>113</v>
      </c>
      <c r="I5" s="711"/>
      <c r="J5" s="711"/>
      <c r="K5" s="712"/>
      <c r="L5" s="370"/>
      <c r="M5" s="717" t="s">
        <v>111</v>
      </c>
      <c r="N5" s="718"/>
      <c r="O5" s="718"/>
      <c r="P5" s="718"/>
      <c r="Q5" s="718"/>
      <c r="R5" s="718"/>
      <c r="S5" s="718"/>
      <c r="T5" s="718"/>
      <c r="U5" s="718"/>
      <c r="V5" s="718"/>
      <c r="W5" s="718"/>
      <c r="X5" s="718"/>
      <c r="Y5" s="718"/>
      <c r="Z5" s="719"/>
      <c r="AA5" s="399"/>
      <c r="AB5" s="371"/>
      <c r="AC5" s="371"/>
      <c r="AD5" s="371"/>
      <c r="AE5" s="371"/>
    </row>
    <row r="6" spans="1:31" ht="28.2" customHeight="1" x14ac:dyDescent="0.25">
      <c r="A6" s="705"/>
      <c r="B6" s="705"/>
      <c r="C6" s="705"/>
      <c r="D6" s="705"/>
      <c r="E6" s="705"/>
      <c r="H6" s="708" t="s">
        <v>115</v>
      </c>
      <c r="I6" s="708" t="s">
        <v>159</v>
      </c>
      <c r="J6" s="708" t="s">
        <v>176</v>
      </c>
      <c r="K6" s="708" t="s">
        <v>0</v>
      </c>
      <c r="L6" s="372"/>
      <c r="M6" s="715" t="s">
        <v>156</v>
      </c>
      <c r="N6" s="708" t="s">
        <v>118</v>
      </c>
      <c r="O6" s="708" t="s">
        <v>112</v>
      </c>
      <c r="P6" s="706" t="s">
        <v>131</v>
      </c>
      <c r="Q6" s="708" t="s">
        <v>128</v>
      </c>
      <c r="R6" s="708" t="s">
        <v>119</v>
      </c>
      <c r="S6" s="706" t="s">
        <v>155</v>
      </c>
      <c r="T6" s="708" t="s">
        <v>129</v>
      </c>
      <c r="U6" s="708" t="s">
        <v>110</v>
      </c>
      <c r="V6" s="708" t="s">
        <v>123</v>
      </c>
      <c r="W6" s="708" t="s">
        <v>116</v>
      </c>
      <c r="X6" s="708" t="s">
        <v>117</v>
      </c>
      <c r="Y6" s="708" t="s">
        <v>154</v>
      </c>
      <c r="Z6" s="708" t="s">
        <v>0</v>
      </c>
    </row>
    <row r="7" spans="1:31" s="374" customFormat="1" ht="15.6" x14ac:dyDescent="0.3">
      <c r="A7" s="373" t="s">
        <v>103</v>
      </c>
      <c r="B7" s="373"/>
      <c r="C7" s="373"/>
      <c r="D7" s="373"/>
      <c r="E7" s="569">
        <v>0</v>
      </c>
      <c r="H7" s="709"/>
      <c r="I7" s="709"/>
      <c r="J7" s="709"/>
      <c r="K7" s="709"/>
      <c r="L7" s="375"/>
      <c r="M7" s="716"/>
      <c r="N7" s="709"/>
      <c r="O7" s="709"/>
      <c r="P7" s="707"/>
      <c r="Q7" s="709"/>
      <c r="R7" s="709"/>
      <c r="S7" s="707"/>
      <c r="T7" s="709"/>
      <c r="U7" s="709"/>
      <c r="V7" s="709"/>
      <c r="W7" s="709"/>
      <c r="X7" s="709"/>
      <c r="Y7" s="709"/>
      <c r="Z7" s="709"/>
    </row>
    <row r="8" spans="1:31" ht="15.6" x14ac:dyDescent="0.3">
      <c r="A8" s="376">
        <v>46174</v>
      </c>
      <c r="B8" s="548">
        <f t="shared" ref="B8:B34" si="0">K8</f>
        <v>0</v>
      </c>
      <c r="C8" s="548"/>
      <c r="D8" s="548">
        <f t="shared" ref="D8:D34" si="1">Z8</f>
        <v>0</v>
      </c>
      <c r="E8" s="549">
        <f>SUM(E7+B8-D8)</f>
        <v>0</v>
      </c>
      <c r="F8" s="550"/>
      <c r="G8" s="550"/>
      <c r="H8" s="551"/>
      <c r="I8" s="550"/>
      <c r="J8" s="551"/>
      <c r="K8" s="552">
        <f t="shared" ref="K8:K34" si="2">SUM(H8:J8)</f>
        <v>0</v>
      </c>
      <c r="L8" s="550"/>
      <c r="M8" s="553"/>
      <c r="N8" s="551"/>
      <c r="O8" s="553"/>
      <c r="P8" s="551"/>
      <c r="Q8" s="553"/>
      <c r="R8" s="553"/>
      <c r="S8" s="551"/>
      <c r="T8" s="551"/>
      <c r="U8" s="551"/>
      <c r="V8" s="551"/>
      <c r="W8" s="551"/>
      <c r="X8" s="551"/>
      <c r="Y8" s="554"/>
      <c r="Z8" s="552">
        <f t="shared" ref="Z8:Z34" si="3">M8+N8+O8+P8+Q8+R8+S8+T8+U8+V8+W8+X8+Y8</f>
        <v>0</v>
      </c>
    </row>
    <row r="9" spans="1:31" ht="15.6" x14ac:dyDescent="0.3">
      <c r="A9" s="376">
        <f>+A8+1</f>
        <v>46175</v>
      </c>
      <c r="B9" s="548">
        <f t="shared" si="0"/>
        <v>13397125</v>
      </c>
      <c r="C9" s="548"/>
      <c r="D9" s="548">
        <f t="shared" si="1"/>
        <v>34.799999999999997</v>
      </c>
      <c r="E9" s="549">
        <f>SUM(E8+B9-D9)</f>
        <v>13397090.199999999</v>
      </c>
      <c r="F9" s="550"/>
      <c r="G9" s="550"/>
      <c r="H9" s="553">
        <v>13397125</v>
      </c>
      <c r="I9" s="551"/>
      <c r="J9" s="551"/>
      <c r="K9" s="552">
        <f t="shared" si="2"/>
        <v>13397125</v>
      </c>
      <c r="L9" s="550"/>
      <c r="M9" s="551"/>
      <c r="N9" s="551"/>
      <c r="O9" s="551"/>
      <c r="P9" s="551"/>
      <c r="Q9" s="551"/>
      <c r="R9" s="551"/>
      <c r="S9" s="551"/>
      <c r="T9" s="551">
        <v>34.799999999999997</v>
      </c>
      <c r="U9" s="551"/>
      <c r="V9" s="551"/>
      <c r="W9" s="551"/>
      <c r="X9" s="551"/>
      <c r="Y9" s="555"/>
      <c r="Z9" s="552">
        <f t="shared" si="3"/>
        <v>34.799999999999997</v>
      </c>
    </row>
    <row r="10" spans="1:31" s="374" customFormat="1" ht="16.2" customHeight="1" x14ac:dyDescent="0.3">
      <c r="A10" s="377">
        <f t="shared" ref="A10:A37" si="4">+A9+1</f>
        <v>46176</v>
      </c>
      <c r="B10" s="556">
        <f t="shared" si="0"/>
        <v>5758700</v>
      </c>
      <c r="C10" s="556"/>
      <c r="D10" s="556">
        <f t="shared" si="1"/>
        <v>703088</v>
      </c>
      <c r="E10" s="557">
        <f t="shared" ref="E10:E34" si="5">SUM(E9+B10-D10)</f>
        <v>18452702.199999999</v>
      </c>
      <c r="F10" s="558"/>
      <c r="G10" s="558"/>
      <c r="H10" s="559">
        <v>5758700</v>
      </c>
      <c r="I10" s="559"/>
      <c r="J10" s="559"/>
      <c r="K10" s="560">
        <f t="shared" si="2"/>
        <v>5758700</v>
      </c>
      <c r="L10" s="558"/>
      <c r="M10" s="559"/>
      <c r="N10" s="559"/>
      <c r="O10" s="559"/>
      <c r="P10" s="559"/>
      <c r="Q10" s="559"/>
      <c r="R10" s="559"/>
      <c r="S10" s="559"/>
      <c r="T10" s="551"/>
      <c r="U10" s="559"/>
      <c r="V10" s="559"/>
      <c r="W10" s="559"/>
      <c r="X10" s="559"/>
      <c r="Y10" s="559">
        <v>703088</v>
      </c>
      <c r="Z10" s="560">
        <f t="shared" si="3"/>
        <v>703088</v>
      </c>
    </row>
    <row r="11" spans="1:31" s="374" customFormat="1" ht="15.6" x14ac:dyDescent="0.3">
      <c r="A11" s="377">
        <f t="shared" si="4"/>
        <v>46177</v>
      </c>
      <c r="B11" s="556">
        <f t="shared" si="0"/>
        <v>1283100</v>
      </c>
      <c r="C11" s="556"/>
      <c r="D11" s="556">
        <f t="shared" si="1"/>
        <v>1001302.8</v>
      </c>
      <c r="E11" s="557">
        <f t="shared" ref="E11:E23" si="6">SUM(E10+B11-D11)</f>
        <v>18734499.399999999</v>
      </c>
      <c r="F11" s="558"/>
      <c r="G11" s="558"/>
      <c r="H11" s="559">
        <v>1283100</v>
      </c>
      <c r="I11" s="559"/>
      <c r="J11" s="559"/>
      <c r="K11" s="560">
        <f t="shared" si="2"/>
        <v>1283100</v>
      </c>
      <c r="L11" s="558"/>
      <c r="M11" s="559"/>
      <c r="N11" s="559"/>
      <c r="O11" s="559"/>
      <c r="P11" s="559"/>
      <c r="Q11" s="559"/>
      <c r="R11" s="559"/>
      <c r="S11" s="559"/>
      <c r="T11" s="551"/>
      <c r="U11" s="559"/>
      <c r="V11" s="559"/>
      <c r="W11" s="559"/>
      <c r="X11" s="559"/>
      <c r="Y11" s="559">
        <v>1001302.8</v>
      </c>
      <c r="Z11" s="560">
        <f t="shared" si="3"/>
        <v>1001302.8</v>
      </c>
    </row>
    <row r="12" spans="1:31" s="374" customFormat="1" ht="15.6" x14ac:dyDescent="0.3">
      <c r="A12" s="377">
        <f t="shared" si="4"/>
        <v>46178</v>
      </c>
      <c r="B12" s="556">
        <f t="shared" si="0"/>
        <v>32747144</v>
      </c>
      <c r="C12" s="556"/>
      <c r="D12" s="556">
        <f t="shared" si="1"/>
        <v>1553347.8</v>
      </c>
      <c r="E12" s="557">
        <f t="shared" si="6"/>
        <v>49928295.600000001</v>
      </c>
      <c r="F12" s="558"/>
      <c r="G12" s="558"/>
      <c r="H12" s="559">
        <v>32747144</v>
      </c>
      <c r="I12" s="559"/>
      <c r="J12" s="559"/>
      <c r="K12" s="560">
        <f t="shared" si="2"/>
        <v>32747144</v>
      </c>
      <c r="L12" s="558"/>
      <c r="M12" s="559"/>
      <c r="N12" s="559"/>
      <c r="O12" s="559"/>
      <c r="P12" s="559"/>
      <c r="Q12" s="559"/>
      <c r="R12" s="559"/>
      <c r="S12" s="559"/>
      <c r="T12" s="551"/>
      <c r="U12" s="559"/>
      <c r="V12" s="559"/>
      <c r="W12" s="559"/>
      <c r="X12" s="559"/>
      <c r="Y12" s="559">
        <v>1553347.8</v>
      </c>
      <c r="Z12" s="560">
        <f t="shared" si="3"/>
        <v>1553347.8</v>
      </c>
    </row>
    <row r="13" spans="1:31" s="374" customFormat="1" ht="15.6" x14ac:dyDescent="0.3">
      <c r="A13" s="377">
        <f t="shared" si="4"/>
        <v>46179</v>
      </c>
      <c r="B13" s="556">
        <f t="shared" si="0"/>
        <v>0</v>
      </c>
      <c r="C13" s="556"/>
      <c r="D13" s="556">
        <f t="shared" si="1"/>
        <v>0</v>
      </c>
      <c r="E13" s="557">
        <f t="shared" si="6"/>
        <v>49928295.600000001</v>
      </c>
      <c r="F13" s="558"/>
      <c r="G13" s="558"/>
      <c r="H13" s="559">
        <v>0</v>
      </c>
      <c r="I13" s="559"/>
      <c r="J13" s="559"/>
      <c r="K13" s="560">
        <f t="shared" si="2"/>
        <v>0</v>
      </c>
      <c r="L13" s="558"/>
      <c r="M13" s="559"/>
      <c r="N13" s="559"/>
      <c r="O13" s="559"/>
      <c r="P13" s="559"/>
      <c r="Q13" s="559"/>
      <c r="R13" s="559"/>
      <c r="S13" s="559"/>
      <c r="T13" s="551"/>
      <c r="U13" s="559"/>
      <c r="V13" s="559"/>
      <c r="W13" s="559"/>
      <c r="X13" s="559"/>
      <c r="Y13" s="559"/>
      <c r="Z13" s="560">
        <f t="shared" si="3"/>
        <v>0</v>
      </c>
    </row>
    <row r="14" spans="1:31" s="374" customFormat="1" ht="15.6" x14ac:dyDescent="0.3">
      <c r="A14" s="377">
        <f t="shared" si="4"/>
        <v>46180</v>
      </c>
      <c r="B14" s="556">
        <f t="shared" si="0"/>
        <v>0</v>
      </c>
      <c r="C14" s="556"/>
      <c r="D14" s="556">
        <f t="shared" si="1"/>
        <v>0</v>
      </c>
      <c r="E14" s="557">
        <f t="shared" si="6"/>
        <v>49928295.600000001</v>
      </c>
      <c r="F14" s="558"/>
      <c r="G14" s="558"/>
      <c r="H14" s="559">
        <v>0</v>
      </c>
      <c r="I14" s="559"/>
      <c r="J14" s="559"/>
      <c r="K14" s="560">
        <f t="shared" si="2"/>
        <v>0</v>
      </c>
      <c r="L14" s="558"/>
      <c r="M14" s="559"/>
      <c r="N14" s="559"/>
      <c r="O14" s="559"/>
      <c r="P14" s="559"/>
      <c r="Q14" s="559"/>
      <c r="R14" s="559"/>
      <c r="S14" s="558"/>
      <c r="T14" s="551"/>
      <c r="U14" s="561"/>
      <c r="V14" s="559"/>
      <c r="W14" s="559"/>
      <c r="X14" s="559"/>
      <c r="Y14" s="559"/>
      <c r="Z14" s="560">
        <f t="shared" si="3"/>
        <v>0</v>
      </c>
    </row>
    <row r="15" spans="1:31" s="374" customFormat="1" ht="15.6" x14ac:dyDescent="0.3">
      <c r="A15" s="377">
        <f t="shared" si="4"/>
        <v>46181</v>
      </c>
      <c r="B15" s="556">
        <f t="shared" si="0"/>
        <v>6762801</v>
      </c>
      <c r="C15" s="556"/>
      <c r="D15" s="556">
        <f t="shared" si="1"/>
        <v>34.799999999999997</v>
      </c>
      <c r="E15" s="557">
        <f t="shared" si="6"/>
        <v>56691061.800000004</v>
      </c>
      <c r="F15" s="558"/>
      <c r="G15" s="558"/>
      <c r="H15" s="559">
        <v>6762801</v>
      </c>
      <c r="I15" s="559"/>
      <c r="J15" s="559"/>
      <c r="K15" s="560">
        <f t="shared" si="2"/>
        <v>6762801</v>
      </c>
      <c r="L15" s="558"/>
      <c r="M15" s="559"/>
      <c r="N15" s="559"/>
      <c r="O15" s="559"/>
      <c r="P15" s="559"/>
      <c r="Q15" s="559"/>
      <c r="R15" s="559"/>
      <c r="S15" s="559"/>
      <c r="T15" s="551">
        <v>34.799999999999997</v>
      </c>
      <c r="U15" s="559"/>
      <c r="V15" s="559"/>
      <c r="W15" s="559"/>
      <c r="X15" s="559"/>
      <c r="Y15" s="562"/>
      <c r="Z15" s="560">
        <f t="shared" si="3"/>
        <v>34.799999999999997</v>
      </c>
    </row>
    <row r="16" spans="1:31" s="525" customFormat="1" ht="15.6" x14ac:dyDescent="0.3">
      <c r="A16" s="524">
        <f t="shared" si="4"/>
        <v>46182</v>
      </c>
      <c r="B16" s="564">
        <f t="shared" si="0"/>
        <v>3834500</v>
      </c>
      <c r="C16" s="570"/>
      <c r="D16" s="564">
        <f t="shared" si="1"/>
        <v>207861.8</v>
      </c>
      <c r="E16" s="565">
        <f t="shared" si="6"/>
        <v>60317700.000000007</v>
      </c>
      <c r="F16" s="566"/>
      <c r="G16" s="566"/>
      <c r="H16" s="553">
        <v>3834500</v>
      </c>
      <c r="I16" s="553"/>
      <c r="J16" s="553"/>
      <c r="K16" s="567">
        <f t="shared" si="2"/>
        <v>3834500</v>
      </c>
      <c r="L16" s="566"/>
      <c r="M16" s="553"/>
      <c r="N16" s="553"/>
      <c r="O16" s="553"/>
      <c r="P16" s="553"/>
      <c r="Q16" s="553"/>
      <c r="R16" s="553"/>
      <c r="S16" s="553"/>
      <c r="T16" s="551">
        <v>34.799999999999997</v>
      </c>
      <c r="U16" s="553"/>
      <c r="V16" s="553"/>
      <c r="W16" s="553"/>
      <c r="X16" s="553"/>
      <c r="Y16" s="553">
        <v>207827</v>
      </c>
      <c r="Z16" s="567">
        <f t="shared" si="3"/>
        <v>207861.8</v>
      </c>
    </row>
    <row r="17" spans="1:26" s="525" customFormat="1" ht="15.6" x14ac:dyDescent="0.3">
      <c r="A17" s="524">
        <f t="shared" si="4"/>
        <v>46183</v>
      </c>
      <c r="B17" s="564">
        <f t="shared" si="0"/>
        <v>15237112</v>
      </c>
      <c r="C17" s="570"/>
      <c r="D17" s="564">
        <f t="shared" si="1"/>
        <v>6448326.7999999998</v>
      </c>
      <c r="E17" s="565">
        <f t="shared" si="6"/>
        <v>69106485.200000003</v>
      </c>
      <c r="F17" s="566"/>
      <c r="G17" s="566"/>
      <c r="H17" s="553">
        <v>15237112</v>
      </c>
      <c r="I17" s="553"/>
      <c r="J17" s="553"/>
      <c r="K17" s="567">
        <f t="shared" si="2"/>
        <v>15237112</v>
      </c>
      <c r="L17" s="566"/>
      <c r="M17" s="553"/>
      <c r="N17" s="553"/>
      <c r="O17" s="553"/>
      <c r="P17" s="553"/>
      <c r="Q17" s="553"/>
      <c r="R17" s="553"/>
      <c r="S17" s="553"/>
      <c r="T17" s="551">
        <v>34.799999999999997</v>
      </c>
      <c r="U17" s="553"/>
      <c r="V17" s="553"/>
      <c r="W17" s="553"/>
      <c r="X17" s="553"/>
      <c r="Y17" s="553">
        <v>6448292</v>
      </c>
      <c r="Z17" s="567">
        <f t="shared" si="3"/>
        <v>6448326.7999999998</v>
      </c>
    </row>
    <row r="18" spans="1:26" s="525" customFormat="1" ht="15.6" x14ac:dyDescent="0.3">
      <c r="A18" s="524">
        <f t="shared" si="4"/>
        <v>46184</v>
      </c>
      <c r="B18" s="564">
        <f t="shared" si="0"/>
        <v>820000</v>
      </c>
      <c r="C18" s="570"/>
      <c r="D18" s="564">
        <f t="shared" si="1"/>
        <v>5728651.7999999998</v>
      </c>
      <c r="E18" s="565">
        <f t="shared" si="6"/>
        <v>64197833.400000006</v>
      </c>
      <c r="F18" s="566"/>
      <c r="G18" s="566"/>
      <c r="H18" s="553">
        <v>820000</v>
      </c>
      <c r="I18" s="553"/>
      <c r="J18" s="553"/>
      <c r="K18" s="567">
        <f t="shared" si="2"/>
        <v>820000</v>
      </c>
      <c r="L18" s="566"/>
      <c r="M18" s="553"/>
      <c r="N18" s="553"/>
      <c r="O18" s="553"/>
      <c r="P18" s="553"/>
      <c r="Q18" s="553"/>
      <c r="R18" s="553"/>
      <c r="S18" s="553"/>
      <c r="T18" s="551">
        <v>34.799999999999997</v>
      </c>
      <c r="U18" s="553"/>
      <c r="V18" s="553"/>
      <c r="W18" s="553"/>
      <c r="X18" s="553"/>
      <c r="Y18" s="553">
        <v>5728617</v>
      </c>
      <c r="Z18" s="567">
        <f t="shared" si="3"/>
        <v>5728651.7999999998</v>
      </c>
    </row>
    <row r="19" spans="1:26" s="525" customFormat="1" ht="15.6" x14ac:dyDescent="0.3">
      <c r="A19" s="524">
        <f t="shared" si="4"/>
        <v>46185</v>
      </c>
      <c r="B19" s="564">
        <f t="shared" si="0"/>
        <v>2666920</v>
      </c>
      <c r="C19" s="564"/>
      <c r="D19" s="564">
        <f t="shared" si="1"/>
        <v>9068843.8000000007</v>
      </c>
      <c r="E19" s="565">
        <f t="shared" si="6"/>
        <v>57795909.600000009</v>
      </c>
      <c r="F19" s="566"/>
      <c r="G19" s="566"/>
      <c r="H19" s="563">
        <v>2666920</v>
      </c>
      <c r="I19" s="553"/>
      <c r="J19" s="553"/>
      <c r="K19" s="567">
        <f t="shared" si="2"/>
        <v>2666920</v>
      </c>
      <c r="L19" s="566"/>
      <c r="M19" s="553"/>
      <c r="N19" s="553"/>
      <c r="O19" s="553"/>
      <c r="P19" s="553"/>
      <c r="Q19" s="553"/>
      <c r="R19" s="553"/>
      <c r="S19" s="553"/>
      <c r="T19" s="553">
        <v>34.799999999999997</v>
      </c>
      <c r="U19" s="553"/>
      <c r="V19" s="553"/>
      <c r="W19" s="553"/>
      <c r="X19" s="553"/>
      <c r="Y19" s="553">
        <v>9068809</v>
      </c>
      <c r="Z19" s="567">
        <f t="shared" si="3"/>
        <v>9068843.8000000007</v>
      </c>
    </row>
    <row r="20" spans="1:26" s="525" customFormat="1" ht="15.6" x14ac:dyDescent="0.3">
      <c r="A20" s="524">
        <f t="shared" si="4"/>
        <v>46186</v>
      </c>
      <c r="B20" s="564">
        <f t="shared" si="0"/>
        <v>0</v>
      </c>
      <c r="C20" s="564"/>
      <c r="D20" s="564">
        <f t="shared" si="1"/>
        <v>0</v>
      </c>
      <c r="E20" s="565">
        <f t="shared" si="6"/>
        <v>57795909.600000009</v>
      </c>
      <c r="F20" s="566"/>
      <c r="G20" s="566"/>
      <c r="H20" s="553"/>
      <c r="I20" s="553"/>
      <c r="J20" s="553"/>
      <c r="K20" s="567">
        <f t="shared" si="2"/>
        <v>0</v>
      </c>
      <c r="L20" s="566"/>
      <c r="M20" s="553"/>
      <c r="N20" s="553"/>
      <c r="O20" s="553"/>
      <c r="P20" s="553"/>
      <c r="Q20" s="553"/>
      <c r="R20" s="553"/>
      <c r="S20" s="553"/>
      <c r="T20" s="553"/>
      <c r="U20" s="553"/>
      <c r="V20" s="553"/>
      <c r="W20" s="553"/>
      <c r="X20" s="553"/>
      <c r="Y20" s="553"/>
      <c r="Z20" s="567">
        <f t="shared" si="3"/>
        <v>0</v>
      </c>
    </row>
    <row r="21" spans="1:26" s="525" customFormat="1" ht="15.6" x14ac:dyDescent="0.3">
      <c r="A21" s="524">
        <f t="shared" si="4"/>
        <v>46187</v>
      </c>
      <c r="B21" s="564">
        <f t="shared" si="0"/>
        <v>0</v>
      </c>
      <c r="C21" s="564"/>
      <c r="D21" s="564">
        <f t="shared" si="1"/>
        <v>0</v>
      </c>
      <c r="E21" s="565">
        <f t="shared" si="6"/>
        <v>57795909.600000009</v>
      </c>
      <c r="F21" s="566"/>
      <c r="G21" s="566"/>
      <c r="H21" s="553"/>
      <c r="I21" s="553"/>
      <c r="J21" s="553"/>
      <c r="K21" s="567">
        <f t="shared" si="2"/>
        <v>0</v>
      </c>
      <c r="L21" s="566"/>
      <c r="M21" s="553"/>
      <c r="N21" s="553"/>
      <c r="O21" s="553"/>
      <c r="P21" s="553"/>
      <c r="Q21" s="553"/>
      <c r="R21" s="553"/>
      <c r="S21" s="553"/>
      <c r="T21" s="553"/>
      <c r="U21" s="553"/>
      <c r="V21" s="553"/>
      <c r="W21" s="553"/>
      <c r="X21" s="553"/>
      <c r="Y21" s="553"/>
      <c r="Z21" s="567">
        <f>M21+N21+O21+P21+Q21+R21+S21+T21+U21+V21+W21+X21+Y21</f>
        <v>0</v>
      </c>
    </row>
    <row r="22" spans="1:26" s="525" customFormat="1" ht="15.6" x14ac:dyDescent="0.3">
      <c r="A22" s="524">
        <f t="shared" si="4"/>
        <v>46188</v>
      </c>
      <c r="B22" s="564">
        <f t="shared" si="0"/>
        <v>0</v>
      </c>
      <c r="C22" s="564"/>
      <c r="D22" s="564">
        <f t="shared" si="1"/>
        <v>0</v>
      </c>
      <c r="E22" s="565">
        <f t="shared" si="6"/>
        <v>57795909.600000009</v>
      </c>
      <c r="F22" s="566"/>
      <c r="G22" s="566"/>
      <c r="H22" s="553"/>
      <c r="I22" s="553"/>
      <c r="J22" s="553"/>
      <c r="K22" s="567">
        <f t="shared" si="2"/>
        <v>0</v>
      </c>
      <c r="L22" s="566"/>
      <c r="M22" s="553"/>
      <c r="N22" s="553"/>
      <c r="O22" s="553"/>
      <c r="P22" s="553"/>
      <c r="Q22" s="553"/>
      <c r="R22" s="553"/>
      <c r="S22" s="553"/>
      <c r="T22" s="553"/>
      <c r="U22" s="553"/>
      <c r="V22" s="553"/>
      <c r="W22" s="553"/>
      <c r="X22" s="553"/>
      <c r="Y22" s="553"/>
      <c r="Z22" s="567">
        <f>M22+N22+O22+P22+Q22+R22+S22+T22+U22+V22+W22+X22+Y22</f>
        <v>0</v>
      </c>
    </row>
    <row r="23" spans="1:26" s="525" customFormat="1" ht="15.6" x14ac:dyDescent="0.3">
      <c r="A23" s="524">
        <f t="shared" si="4"/>
        <v>46189</v>
      </c>
      <c r="B23" s="564">
        <f t="shared" si="0"/>
        <v>0</v>
      </c>
      <c r="C23" s="564"/>
      <c r="D23" s="564">
        <f t="shared" si="1"/>
        <v>0</v>
      </c>
      <c r="E23" s="565">
        <f t="shared" si="6"/>
        <v>57795909.600000009</v>
      </c>
      <c r="F23" s="566"/>
      <c r="G23" s="566"/>
      <c r="H23" s="553"/>
      <c r="I23" s="553"/>
      <c r="J23" s="553"/>
      <c r="K23" s="567">
        <f t="shared" si="2"/>
        <v>0</v>
      </c>
      <c r="L23" s="566"/>
      <c r="M23" s="553"/>
      <c r="N23" s="553"/>
      <c r="O23" s="553"/>
      <c r="P23" s="553"/>
      <c r="Q23" s="553"/>
      <c r="R23" s="553"/>
      <c r="S23" s="553"/>
      <c r="T23" s="553"/>
      <c r="U23" s="553"/>
      <c r="V23" s="553"/>
      <c r="W23" s="553"/>
      <c r="X23" s="553"/>
      <c r="Y23" s="553"/>
      <c r="Z23" s="567">
        <f t="shared" si="3"/>
        <v>0</v>
      </c>
    </row>
    <row r="24" spans="1:26" s="596" customFormat="1" ht="15.6" x14ac:dyDescent="0.3">
      <c r="A24" s="524">
        <f t="shared" si="4"/>
        <v>46190</v>
      </c>
      <c r="B24" s="564">
        <f t="shared" si="0"/>
        <v>0</v>
      </c>
      <c r="C24" s="570"/>
      <c r="D24" s="564">
        <f t="shared" si="1"/>
        <v>0</v>
      </c>
      <c r="E24" s="565">
        <f t="shared" si="5"/>
        <v>57795909.600000009</v>
      </c>
      <c r="F24" s="566"/>
      <c r="G24" s="566"/>
      <c r="H24" s="553"/>
      <c r="I24" s="553"/>
      <c r="J24" s="553"/>
      <c r="K24" s="567">
        <f t="shared" si="2"/>
        <v>0</v>
      </c>
      <c r="L24" s="566"/>
      <c r="M24" s="553"/>
      <c r="N24" s="553"/>
      <c r="O24" s="553"/>
      <c r="P24" s="553"/>
      <c r="Q24" s="553"/>
      <c r="R24" s="553"/>
      <c r="S24" s="553"/>
      <c r="T24" s="553"/>
      <c r="U24" s="553"/>
      <c r="V24" s="553"/>
      <c r="W24" s="553"/>
      <c r="X24" s="553"/>
      <c r="Y24" s="553"/>
      <c r="Z24" s="567">
        <f t="shared" si="3"/>
        <v>0</v>
      </c>
    </row>
    <row r="25" spans="1:26" s="596" customFormat="1" ht="15.6" x14ac:dyDescent="0.3">
      <c r="A25" s="524">
        <f t="shared" si="4"/>
        <v>46191</v>
      </c>
      <c r="B25" s="564">
        <f t="shared" si="0"/>
        <v>0</v>
      </c>
      <c r="C25" s="570"/>
      <c r="D25" s="564">
        <f t="shared" si="1"/>
        <v>0</v>
      </c>
      <c r="E25" s="565">
        <f t="shared" si="5"/>
        <v>57795909.600000009</v>
      </c>
      <c r="F25" s="566"/>
      <c r="G25" s="566"/>
      <c r="H25" s="553"/>
      <c r="I25" s="553"/>
      <c r="J25" s="553"/>
      <c r="K25" s="567">
        <f t="shared" si="2"/>
        <v>0</v>
      </c>
      <c r="L25" s="566"/>
      <c r="M25" s="553"/>
      <c r="N25" s="553"/>
      <c r="O25" s="553"/>
      <c r="P25" s="553"/>
      <c r="Q25" s="553"/>
      <c r="R25" s="553"/>
      <c r="S25" s="553"/>
      <c r="T25" s="553"/>
      <c r="U25" s="553"/>
      <c r="V25" s="553"/>
      <c r="W25" s="553"/>
      <c r="X25" s="553"/>
      <c r="Y25" s="553"/>
      <c r="Z25" s="567">
        <f t="shared" si="3"/>
        <v>0</v>
      </c>
    </row>
    <row r="26" spans="1:26" s="596" customFormat="1" ht="15.6" x14ac:dyDescent="0.3">
      <c r="A26" s="524">
        <f>+A25+1</f>
        <v>46192</v>
      </c>
      <c r="B26" s="564">
        <f t="shared" si="0"/>
        <v>0</v>
      </c>
      <c r="C26" s="570"/>
      <c r="D26" s="564">
        <f t="shared" si="1"/>
        <v>0</v>
      </c>
      <c r="E26" s="565">
        <f t="shared" si="5"/>
        <v>57795909.600000009</v>
      </c>
      <c r="F26" s="566"/>
      <c r="G26" s="566"/>
      <c r="H26" s="553"/>
      <c r="I26" s="566"/>
      <c r="J26" s="553"/>
      <c r="K26" s="567">
        <f t="shared" si="2"/>
        <v>0</v>
      </c>
      <c r="L26" s="566"/>
      <c r="M26" s="553"/>
      <c r="N26" s="553"/>
      <c r="O26" s="553"/>
      <c r="P26" s="553"/>
      <c r="Q26" s="553"/>
      <c r="R26" s="553"/>
      <c r="S26" s="553"/>
      <c r="T26" s="553"/>
      <c r="U26" s="553"/>
      <c r="V26" s="553"/>
      <c r="W26" s="553"/>
      <c r="X26" s="553"/>
      <c r="Y26" s="553"/>
      <c r="Z26" s="567">
        <f t="shared" si="3"/>
        <v>0</v>
      </c>
    </row>
    <row r="27" spans="1:26" s="596" customFormat="1" ht="17.399999999999999" customHeight="1" x14ac:dyDescent="0.3">
      <c r="A27" s="524">
        <f t="shared" si="4"/>
        <v>46193</v>
      </c>
      <c r="B27" s="564">
        <f t="shared" si="0"/>
        <v>0</v>
      </c>
      <c r="C27" s="570"/>
      <c r="D27" s="564">
        <f t="shared" si="1"/>
        <v>0</v>
      </c>
      <c r="E27" s="565">
        <f t="shared" si="5"/>
        <v>57795909.600000009</v>
      </c>
      <c r="F27" s="566"/>
      <c r="G27" s="566"/>
      <c r="H27" s="553"/>
      <c r="I27" s="553"/>
      <c r="J27" s="553"/>
      <c r="K27" s="567">
        <f t="shared" si="2"/>
        <v>0</v>
      </c>
      <c r="L27" s="566"/>
      <c r="M27" s="553"/>
      <c r="N27" s="553"/>
      <c r="O27" s="553"/>
      <c r="P27" s="553"/>
      <c r="Q27" s="553"/>
      <c r="R27" s="553"/>
      <c r="S27" s="553"/>
      <c r="T27" s="553"/>
      <c r="U27" s="553"/>
      <c r="V27" s="553"/>
      <c r="W27" s="553"/>
      <c r="X27" s="553"/>
      <c r="Y27" s="553"/>
      <c r="Z27" s="567">
        <f t="shared" si="3"/>
        <v>0</v>
      </c>
    </row>
    <row r="28" spans="1:26" s="596" customFormat="1" ht="15.6" x14ac:dyDescent="0.3">
      <c r="A28" s="524">
        <f>+A27+1</f>
        <v>46194</v>
      </c>
      <c r="B28" s="564">
        <f t="shared" si="0"/>
        <v>0</v>
      </c>
      <c r="C28" s="570"/>
      <c r="D28" s="564">
        <f t="shared" si="1"/>
        <v>0</v>
      </c>
      <c r="E28" s="565">
        <f t="shared" si="5"/>
        <v>57795909.600000009</v>
      </c>
      <c r="F28" s="566"/>
      <c r="G28" s="566"/>
      <c r="H28" s="597"/>
      <c r="I28" s="553"/>
      <c r="J28" s="553"/>
      <c r="K28" s="567">
        <f t="shared" si="2"/>
        <v>0</v>
      </c>
      <c r="L28" s="566"/>
      <c r="M28" s="553"/>
      <c r="N28" s="553"/>
      <c r="O28" s="553"/>
      <c r="P28" s="553"/>
      <c r="Q28" s="553"/>
      <c r="R28" s="553"/>
      <c r="S28" s="553"/>
      <c r="T28" s="553"/>
      <c r="U28" s="553"/>
      <c r="V28" s="553"/>
      <c r="W28" s="553"/>
      <c r="X28" s="553"/>
      <c r="Y28" s="597"/>
      <c r="Z28" s="567">
        <f t="shared" si="3"/>
        <v>0</v>
      </c>
    </row>
    <row r="29" spans="1:26" s="596" customFormat="1" ht="15.6" x14ac:dyDescent="0.3">
      <c r="A29" s="524">
        <f t="shared" si="4"/>
        <v>46195</v>
      </c>
      <c r="B29" s="564">
        <f t="shared" si="0"/>
        <v>0</v>
      </c>
      <c r="C29" s="570"/>
      <c r="D29" s="564">
        <f t="shared" si="1"/>
        <v>0</v>
      </c>
      <c r="E29" s="565">
        <f t="shared" si="5"/>
        <v>57795909.600000009</v>
      </c>
      <c r="F29" s="566"/>
      <c r="G29" s="566"/>
      <c r="H29" s="553"/>
      <c r="I29" s="553"/>
      <c r="J29" s="553"/>
      <c r="K29" s="567">
        <f t="shared" si="2"/>
        <v>0</v>
      </c>
      <c r="L29" s="566"/>
      <c r="M29" s="553"/>
      <c r="N29" s="553"/>
      <c r="O29" s="553"/>
      <c r="P29" s="553"/>
      <c r="Q29" s="553"/>
      <c r="R29" s="553"/>
      <c r="S29" s="553"/>
      <c r="T29" s="553"/>
      <c r="U29" s="553"/>
      <c r="V29" s="553"/>
      <c r="W29" s="553"/>
      <c r="X29" s="553"/>
      <c r="Y29" s="553"/>
      <c r="Z29" s="567">
        <f t="shared" si="3"/>
        <v>0</v>
      </c>
    </row>
    <row r="30" spans="1:26" s="596" customFormat="1" ht="15.6" x14ac:dyDescent="0.3">
      <c r="A30" s="524">
        <f t="shared" si="4"/>
        <v>46196</v>
      </c>
      <c r="B30" s="564">
        <f t="shared" si="0"/>
        <v>0</v>
      </c>
      <c r="C30" s="570"/>
      <c r="D30" s="564">
        <f t="shared" si="1"/>
        <v>0</v>
      </c>
      <c r="E30" s="565">
        <f t="shared" si="5"/>
        <v>57795909.600000009</v>
      </c>
      <c r="F30" s="566"/>
      <c r="G30" s="566"/>
      <c r="H30" s="553"/>
      <c r="I30" s="553"/>
      <c r="J30" s="553"/>
      <c r="K30" s="567">
        <f t="shared" si="2"/>
        <v>0</v>
      </c>
      <c r="L30" s="566"/>
      <c r="M30" s="553"/>
      <c r="N30" s="553"/>
      <c r="O30" s="553"/>
      <c r="P30" s="553"/>
      <c r="Q30" s="553"/>
      <c r="R30" s="553"/>
      <c r="S30" s="553"/>
      <c r="T30" s="553"/>
      <c r="U30" s="553"/>
      <c r="V30" s="553"/>
      <c r="W30" s="553"/>
      <c r="X30" s="553"/>
      <c r="Y30" s="553"/>
      <c r="Z30" s="567">
        <f t="shared" si="3"/>
        <v>0</v>
      </c>
    </row>
    <row r="31" spans="1:26" s="596" customFormat="1" ht="15.6" x14ac:dyDescent="0.3">
      <c r="A31" s="524">
        <f t="shared" si="4"/>
        <v>46197</v>
      </c>
      <c r="B31" s="564">
        <f t="shared" si="0"/>
        <v>0</v>
      </c>
      <c r="C31" s="570"/>
      <c r="D31" s="564">
        <f t="shared" si="1"/>
        <v>0</v>
      </c>
      <c r="E31" s="565">
        <f t="shared" si="5"/>
        <v>57795909.600000009</v>
      </c>
      <c r="F31" s="566"/>
      <c r="G31" s="566"/>
      <c r="H31" s="553"/>
      <c r="I31" s="553"/>
      <c r="J31" s="553"/>
      <c r="K31" s="567">
        <f t="shared" si="2"/>
        <v>0</v>
      </c>
      <c r="L31" s="566"/>
      <c r="M31" s="553"/>
      <c r="N31" s="553"/>
      <c r="O31" s="553"/>
      <c r="P31" s="553"/>
      <c r="Q31" s="553"/>
      <c r="R31" s="553"/>
      <c r="S31" s="553"/>
      <c r="T31" s="553"/>
      <c r="U31" s="553"/>
      <c r="V31" s="553"/>
      <c r="W31" s="553"/>
      <c r="X31" s="553"/>
      <c r="Y31" s="553"/>
      <c r="Z31" s="567">
        <f t="shared" si="3"/>
        <v>0</v>
      </c>
    </row>
    <row r="32" spans="1:26" s="596" customFormat="1" ht="15.6" x14ac:dyDescent="0.3">
      <c r="A32" s="524">
        <f t="shared" si="4"/>
        <v>46198</v>
      </c>
      <c r="B32" s="564">
        <f t="shared" si="0"/>
        <v>0</v>
      </c>
      <c r="C32" s="570"/>
      <c r="D32" s="564">
        <f t="shared" si="1"/>
        <v>0</v>
      </c>
      <c r="E32" s="565">
        <f t="shared" si="5"/>
        <v>57795909.600000009</v>
      </c>
      <c r="F32" s="566"/>
      <c r="G32" s="566"/>
      <c r="H32" s="553"/>
      <c r="I32" s="553"/>
      <c r="J32" s="553"/>
      <c r="K32" s="567">
        <f t="shared" si="2"/>
        <v>0</v>
      </c>
      <c r="L32" s="566"/>
      <c r="M32" s="553"/>
      <c r="N32" s="553"/>
      <c r="O32" s="553"/>
      <c r="P32" s="553"/>
      <c r="Q32" s="553"/>
      <c r="R32" s="553"/>
      <c r="S32" s="553"/>
      <c r="T32" s="553"/>
      <c r="U32" s="553"/>
      <c r="V32" s="553"/>
      <c r="W32" s="553"/>
      <c r="X32" s="553"/>
      <c r="Y32" s="553"/>
      <c r="Z32" s="567">
        <f t="shared" si="3"/>
        <v>0</v>
      </c>
    </row>
    <row r="33" spans="1:62" s="596" customFormat="1" ht="15.6" x14ac:dyDescent="0.3">
      <c r="A33" s="524">
        <f t="shared" si="4"/>
        <v>46199</v>
      </c>
      <c r="B33" s="564">
        <f t="shared" si="0"/>
        <v>0</v>
      </c>
      <c r="C33" s="570"/>
      <c r="D33" s="564">
        <f t="shared" si="1"/>
        <v>0</v>
      </c>
      <c r="E33" s="565">
        <f t="shared" si="5"/>
        <v>57795909.600000009</v>
      </c>
      <c r="F33" s="566"/>
      <c r="G33" s="566"/>
      <c r="H33" s="553"/>
      <c r="I33" s="566"/>
      <c r="J33" s="553"/>
      <c r="K33" s="567">
        <f t="shared" si="2"/>
        <v>0</v>
      </c>
      <c r="L33" s="566"/>
      <c r="M33" s="553"/>
      <c r="N33" s="553"/>
      <c r="O33" s="553"/>
      <c r="P33" s="553"/>
      <c r="Q33" s="553"/>
      <c r="R33" s="553"/>
      <c r="S33" s="553"/>
      <c r="T33" s="553"/>
      <c r="U33" s="553"/>
      <c r="V33" s="553"/>
      <c r="W33" s="553"/>
      <c r="X33" s="553"/>
      <c r="Y33" s="553"/>
      <c r="Z33" s="567">
        <f t="shared" si="3"/>
        <v>0</v>
      </c>
    </row>
    <row r="34" spans="1:62" s="596" customFormat="1" ht="15.6" x14ac:dyDescent="0.3">
      <c r="A34" s="524">
        <f t="shared" si="4"/>
        <v>46200</v>
      </c>
      <c r="B34" s="564">
        <f t="shared" si="0"/>
        <v>0</v>
      </c>
      <c r="C34" s="570"/>
      <c r="D34" s="564">
        <f t="shared" si="1"/>
        <v>0</v>
      </c>
      <c r="E34" s="565">
        <f t="shared" si="5"/>
        <v>57795909.600000009</v>
      </c>
      <c r="F34" s="566"/>
      <c r="G34" s="566"/>
      <c r="H34" s="553"/>
      <c r="I34" s="553"/>
      <c r="J34" s="553"/>
      <c r="K34" s="567">
        <f t="shared" si="2"/>
        <v>0</v>
      </c>
      <c r="L34" s="566"/>
      <c r="M34" s="553"/>
      <c r="N34" s="553"/>
      <c r="O34" s="553"/>
      <c r="P34" s="553"/>
      <c r="Q34" s="553"/>
      <c r="R34" s="553"/>
      <c r="S34" s="553"/>
      <c r="T34" s="553"/>
      <c r="U34" s="553"/>
      <c r="V34" s="553"/>
      <c r="W34" s="553"/>
      <c r="X34" s="553"/>
      <c r="Y34" s="553"/>
      <c r="Z34" s="567">
        <f t="shared" si="3"/>
        <v>0</v>
      </c>
    </row>
    <row r="35" spans="1:62" s="596" customFormat="1" ht="15.6" x14ac:dyDescent="0.3">
      <c r="A35" s="524">
        <f t="shared" si="4"/>
        <v>46201</v>
      </c>
      <c r="B35" s="564">
        <f>K35</f>
        <v>0</v>
      </c>
      <c r="C35" s="570"/>
      <c r="D35" s="564">
        <f>Z35</f>
        <v>0</v>
      </c>
      <c r="E35" s="565">
        <f>SUM(E34+B35-D35)</f>
        <v>57795909.600000009</v>
      </c>
      <c r="F35" s="566"/>
      <c r="G35" s="566"/>
      <c r="H35" s="553"/>
      <c r="I35" s="553"/>
      <c r="J35" s="553"/>
      <c r="K35" s="567">
        <f>SUM(H35:J35)</f>
        <v>0</v>
      </c>
      <c r="L35" s="566"/>
      <c r="M35" s="553"/>
      <c r="N35" s="553"/>
      <c r="O35" s="553"/>
      <c r="P35" s="553"/>
      <c r="Q35" s="553"/>
      <c r="R35" s="553"/>
      <c r="S35" s="553"/>
      <c r="T35" s="553"/>
      <c r="U35" s="553"/>
      <c r="V35" s="553"/>
      <c r="W35" s="553"/>
      <c r="X35" s="553"/>
      <c r="Y35" s="553"/>
      <c r="Z35" s="567">
        <f>M35+N35+O35+P35+Q35+R35+S35+T35+U35+V35+W35+X35+Y35</f>
        <v>0</v>
      </c>
    </row>
    <row r="36" spans="1:62" s="596" customFormat="1" ht="15.6" x14ac:dyDescent="0.3">
      <c r="A36" s="524">
        <f t="shared" si="4"/>
        <v>46202</v>
      </c>
      <c r="B36" s="564">
        <f>K36</f>
        <v>0</v>
      </c>
      <c r="C36" s="570"/>
      <c r="D36" s="564">
        <f>Z36</f>
        <v>0</v>
      </c>
      <c r="E36" s="565">
        <f>SUM(E35+B36-D36)</f>
        <v>57795909.600000009</v>
      </c>
      <c r="F36" s="566"/>
      <c r="G36" s="566"/>
      <c r="H36" s="553"/>
      <c r="I36" s="553"/>
      <c r="J36" s="553"/>
      <c r="K36" s="567">
        <f>SUM(H36:J36)</f>
        <v>0</v>
      </c>
      <c r="L36" s="566"/>
      <c r="M36" s="553"/>
      <c r="N36" s="553"/>
      <c r="O36" s="553"/>
      <c r="P36" s="553"/>
      <c r="Q36" s="553"/>
      <c r="R36" s="553"/>
      <c r="S36" s="553"/>
      <c r="T36" s="553"/>
      <c r="U36" s="553"/>
      <c r="V36" s="553"/>
      <c r="W36" s="553"/>
      <c r="X36" s="553"/>
      <c r="Y36" s="553"/>
      <c r="Z36" s="567">
        <f>M36+N36+O36+P36+Q36+R36+S36+T36+U36+V36+W36+X36+Y36</f>
        <v>0</v>
      </c>
    </row>
    <row r="37" spans="1:62" s="596" customFormat="1" ht="15.6" x14ac:dyDescent="0.3">
      <c r="A37" s="524">
        <f t="shared" si="4"/>
        <v>46203</v>
      </c>
      <c r="B37" s="564">
        <f>K37</f>
        <v>0</v>
      </c>
      <c r="C37" s="570"/>
      <c r="D37" s="564">
        <f>Z37</f>
        <v>0</v>
      </c>
      <c r="E37" s="565">
        <f>SUM(E36+B37-D37)</f>
        <v>57795909.600000009</v>
      </c>
      <c r="F37" s="566"/>
      <c r="G37" s="566"/>
      <c r="H37" s="553"/>
      <c r="I37" s="553"/>
      <c r="J37" s="553"/>
      <c r="K37" s="567">
        <f>SUM(H37:J37)</f>
        <v>0</v>
      </c>
      <c r="L37" s="566"/>
      <c r="M37" s="553"/>
      <c r="N37" s="553"/>
      <c r="O37" s="553"/>
      <c r="P37" s="553"/>
      <c r="Q37" s="553"/>
      <c r="R37" s="553"/>
      <c r="S37" s="553"/>
      <c r="T37" s="553"/>
      <c r="U37" s="553"/>
      <c r="V37" s="553"/>
      <c r="W37" s="553"/>
      <c r="X37" s="553"/>
      <c r="Y37" s="553"/>
      <c r="Z37" s="567">
        <f>M37+N37+O37+P37+Q37+R37+S37+T37+U37+V37+W37+X37+Y37</f>
        <v>0</v>
      </c>
    </row>
    <row r="38" spans="1:62" s="378" customFormat="1" ht="15.6" x14ac:dyDescent="0.3">
      <c r="A38" s="713"/>
      <c r="B38" s="713"/>
      <c r="C38" s="713"/>
      <c r="D38" s="713"/>
      <c r="E38" s="713"/>
      <c r="H38" s="379">
        <f>SUM(H8:H37)</f>
        <v>82507402</v>
      </c>
      <c r="I38" s="379">
        <f>SUM(I8:I37)</f>
        <v>0</v>
      </c>
      <c r="J38" s="379">
        <f>SUM(J8:J37)</f>
        <v>0</v>
      </c>
      <c r="K38" s="379">
        <f>SUM(K8:K37)</f>
        <v>82507402</v>
      </c>
      <c r="L38" s="379"/>
      <c r="M38" s="379">
        <f t="shared" ref="M38:AR38" si="7">SUM(M8:M37)</f>
        <v>0</v>
      </c>
      <c r="N38" s="379">
        <f t="shared" si="7"/>
        <v>0</v>
      </c>
      <c r="O38" s="379">
        <f t="shared" si="7"/>
        <v>0</v>
      </c>
      <c r="P38" s="379">
        <f t="shared" si="7"/>
        <v>0</v>
      </c>
      <c r="Q38" s="379">
        <f t="shared" si="7"/>
        <v>0</v>
      </c>
      <c r="R38" s="379">
        <f t="shared" si="7"/>
        <v>0</v>
      </c>
      <c r="S38" s="379">
        <f t="shared" si="7"/>
        <v>0</v>
      </c>
      <c r="T38" s="379">
        <f t="shared" si="7"/>
        <v>208.8</v>
      </c>
      <c r="U38" s="379">
        <f t="shared" si="7"/>
        <v>0</v>
      </c>
      <c r="V38" s="379">
        <f t="shared" si="7"/>
        <v>0</v>
      </c>
      <c r="W38" s="379">
        <f t="shared" si="7"/>
        <v>0</v>
      </c>
      <c r="X38" s="379">
        <f t="shared" si="7"/>
        <v>0</v>
      </c>
      <c r="Y38" s="379">
        <f t="shared" si="7"/>
        <v>24711283.600000001</v>
      </c>
      <c r="Z38" s="379">
        <f t="shared" si="7"/>
        <v>24711492.400000002</v>
      </c>
      <c r="AA38" s="400">
        <f t="shared" si="7"/>
        <v>0</v>
      </c>
      <c r="AB38" s="379">
        <f t="shared" si="7"/>
        <v>0</v>
      </c>
      <c r="AC38" s="379">
        <f t="shared" si="7"/>
        <v>0</v>
      </c>
      <c r="AD38" s="379">
        <f t="shared" si="7"/>
        <v>0</v>
      </c>
      <c r="AE38" s="379">
        <f t="shared" si="7"/>
        <v>0</v>
      </c>
      <c r="AF38" s="379">
        <f t="shared" si="7"/>
        <v>0</v>
      </c>
      <c r="AG38" s="379">
        <f t="shared" si="7"/>
        <v>0</v>
      </c>
      <c r="AH38" s="379">
        <f t="shared" si="7"/>
        <v>0</v>
      </c>
      <c r="AI38" s="379">
        <f t="shared" si="7"/>
        <v>0</v>
      </c>
      <c r="AJ38" s="379">
        <f t="shared" si="7"/>
        <v>0</v>
      </c>
      <c r="AK38" s="379">
        <f t="shared" si="7"/>
        <v>0</v>
      </c>
      <c r="AL38" s="379">
        <f t="shared" si="7"/>
        <v>0</v>
      </c>
      <c r="AM38" s="379">
        <f t="shared" si="7"/>
        <v>0</v>
      </c>
      <c r="AN38" s="379">
        <f t="shared" si="7"/>
        <v>0</v>
      </c>
      <c r="AO38" s="379">
        <f t="shared" si="7"/>
        <v>0</v>
      </c>
      <c r="AP38" s="379">
        <f t="shared" si="7"/>
        <v>0</v>
      </c>
      <c r="AQ38" s="379">
        <f t="shared" si="7"/>
        <v>0</v>
      </c>
      <c r="AR38" s="379">
        <f t="shared" si="7"/>
        <v>0</v>
      </c>
      <c r="AS38" s="379">
        <f t="shared" ref="AS38:BJ38" si="8">SUM(AS8:AS37)</f>
        <v>0</v>
      </c>
      <c r="AT38" s="379">
        <f t="shared" si="8"/>
        <v>0</v>
      </c>
      <c r="AU38" s="379">
        <f t="shared" si="8"/>
        <v>0</v>
      </c>
      <c r="AV38" s="379">
        <f t="shared" si="8"/>
        <v>0</v>
      </c>
      <c r="AW38" s="379">
        <f t="shared" si="8"/>
        <v>0</v>
      </c>
      <c r="AX38" s="379">
        <f t="shared" si="8"/>
        <v>0</v>
      </c>
      <c r="AY38" s="379">
        <f t="shared" si="8"/>
        <v>0</v>
      </c>
      <c r="AZ38" s="379">
        <f t="shared" si="8"/>
        <v>0</v>
      </c>
      <c r="BA38" s="379">
        <f t="shared" si="8"/>
        <v>0</v>
      </c>
      <c r="BB38" s="379">
        <f t="shared" si="8"/>
        <v>0</v>
      </c>
      <c r="BC38" s="379">
        <f t="shared" si="8"/>
        <v>0</v>
      </c>
      <c r="BD38" s="379">
        <f t="shared" si="8"/>
        <v>0</v>
      </c>
      <c r="BE38" s="379">
        <f t="shared" si="8"/>
        <v>0</v>
      </c>
      <c r="BF38" s="379">
        <f t="shared" si="8"/>
        <v>0</v>
      </c>
      <c r="BG38" s="379">
        <f t="shared" si="8"/>
        <v>0</v>
      </c>
      <c r="BH38" s="379">
        <f t="shared" si="8"/>
        <v>0</v>
      </c>
      <c r="BI38" s="379">
        <f t="shared" si="8"/>
        <v>0</v>
      </c>
      <c r="BJ38" s="379">
        <f t="shared" si="8"/>
        <v>0</v>
      </c>
    </row>
    <row r="39" spans="1:62" ht="15" customHeight="1" x14ac:dyDescent="0.25">
      <c r="A39" s="380" t="s">
        <v>104</v>
      </c>
      <c r="B39" s="381">
        <f>SUM(B8:B37)-I38</f>
        <v>82507402</v>
      </c>
      <c r="C39" s="381"/>
      <c r="D39" s="381">
        <f>SUM(D8:D37)</f>
        <v>24711492.400000002</v>
      </c>
      <c r="E39" s="382">
        <f>SUM(B39-D39)</f>
        <v>57795909.599999994</v>
      </c>
    </row>
    <row r="40" spans="1:62" x14ac:dyDescent="0.25">
      <c r="Q40" s="383"/>
    </row>
    <row r="45" spans="1:62" x14ac:dyDescent="0.25">
      <c r="H45" s="534"/>
    </row>
  </sheetData>
  <mergeCells count="26">
    <mergeCell ref="Y6:Y7"/>
    <mergeCell ref="Z6:Z7"/>
    <mergeCell ref="Q6:Q7"/>
    <mergeCell ref="R6:R7"/>
    <mergeCell ref="S6:S7"/>
    <mergeCell ref="U6:U7"/>
    <mergeCell ref="A38:E38"/>
    <mergeCell ref="T6:T7"/>
    <mergeCell ref="V6:V7"/>
    <mergeCell ref="A4:Z4"/>
    <mergeCell ref="W6:W7"/>
    <mergeCell ref="N6:N7"/>
    <mergeCell ref="M6:M7"/>
    <mergeCell ref="K6:K7"/>
    <mergeCell ref="J6:J7"/>
    <mergeCell ref="M5:Z5"/>
    <mergeCell ref="A1:Z1"/>
    <mergeCell ref="A2:Z2"/>
    <mergeCell ref="A3:Z3"/>
    <mergeCell ref="A6:E6"/>
    <mergeCell ref="P6:P7"/>
    <mergeCell ref="O6:O7"/>
    <mergeCell ref="I6:I7"/>
    <mergeCell ref="H6:H7"/>
    <mergeCell ref="H5:K5"/>
    <mergeCell ref="X6:X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0A0DE-C193-4D7C-947D-7E450748A395}">
  <sheetPr codeName="Sheet7">
    <pageSetUpPr fitToPage="1"/>
  </sheetPr>
  <dimension ref="A1:IV35"/>
  <sheetViews>
    <sheetView view="pageBreakPreview" zoomScaleNormal="100" zoomScaleSheetLayoutView="100" workbookViewId="0">
      <selection activeCell="A3" sqref="A3:J3"/>
    </sheetView>
  </sheetViews>
  <sheetFormatPr defaultRowHeight="15" x14ac:dyDescent="0.25"/>
  <cols>
    <col min="1" max="1" width="41.81640625" customWidth="1"/>
    <col min="2" max="2" width="13.81640625" bestFit="1" customWidth="1"/>
    <col min="3" max="3" width="13.36328125" bestFit="1" customWidth="1"/>
    <col min="4" max="4" width="14.81640625" bestFit="1" customWidth="1"/>
    <col min="5" max="6" width="13.36328125" customWidth="1"/>
    <col min="7" max="8" width="13.36328125" hidden="1" customWidth="1"/>
    <col min="9" max="9" width="13.36328125" customWidth="1"/>
    <col min="10" max="10" width="14.7265625" bestFit="1" customWidth="1"/>
    <col min="11" max="11" width="1.54296875" customWidth="1"/>
    <col min="12" max="12" width="7.6328125" style="393" bestFit="1" customWidth="1"/>
    <col min="13" max="13" width="14.453125" style="384" bestFit="1" customWidth="1"/>
    <col min="14" max="14" width="3.36328125" style="124" bestFit="1" customWidth="1"/>
    <col min="15" max="16" width="14.81640625" bestFit="1" customWidth="1"/>
  </cols>
  <sheetData>
    <row r="1" spans="1:15" ht="16.2" thickBot="1" x14ac:dyDescent="0.35">
      <c r="A1" s="727" t="s">
        <v>186</v>
      </c>
      <c r="B1" s="728"/>
      <c r="C1" s="728"/>
      <c r="D1" s="728"/>
      <c r="E1" s="728"/>
      <c r="F1" s="728"/>
      <c r="G1" s="728"/>
      <c r="H1" s="728"/>
      <c r="I1" s="728"/>
      <c r="J1" s="729"/>
    </row>
    <row r="2" spans="1:15" ht="16.2" thickBot="1" x14ac:dyDescent="0.35">
      <c r="A2" s="727" t="s">
        <v>53</v>
      </c>
      <c r="B2" s="728"/>
      <c r="C2" s="728"/>
      <c r="D2" s="728"/>
      <c r="E2" s="728"/>
      <c r="F2" s="728"/>
      <c r="G2" s="728"/>
      <c r="H2" s="728"/>
      <c r="I2" s="728"/>
      <c r="J2" s="729"/>
      <c r="L2" s="393" t="s">
        <v>253</v>
      </c>
      <c r="M2" s="547">
        <f>'[3]23 June'!$H$7</f>
        <v>16552</v>
      </c>
      <c r="N2" s="124" t="s">
        <v>218</v>
      </c>
    </row>
    <row r="3" spans="1:15" ht="16.2" thickBot="1" x14ac:dyDescent="0.35">
      <c r="A3" s="730">
        <v>46202</v>
      </c>
      <c r="B3" s="731"/>
      <c r="C3" s="731"/>
      <c r="D3" s="731"/>
      <c r="E3" s="731"/>
      <c r="F3" s="731"/>
      <c r="G3" s="731"/>
      <c r="H3" s="731"/>
      <c r="I3" s="731"/>
      <c r="J3" s="729"/>
      <c r="L3" s="424" t="s">
        <v>198</v>
      </c>
      <c r="M3" s="547">
        <v>25313.83</v>
      </c>
      <c r="N3" s="425" t="s">
        <v>218</v>
      </c>
    </row>
    <row r="4" spans="1:15" ht="3.6" customHeight="1" thickBot="1" x14ac:dyDescent="0.3">
      <c r="A4" s="732"/>
      <c r="B4" s="733"/>
      <c r="C4" s="733"/>
      <c r="D4" s="733"/>
      <c r="E4" s="733"/>
      <c r="F4" s="733"/>
      <c r="G4" s="733"/>
      <c r="H4" s="733"/>
      <c r="I4" s="733"/>
      <c r="J4" s="734"/>
      <c r="L4" s="417"/>
      <c r="N4" s="418"/>
    </row>
    <row r="5" spans="1:15" s="124" customFormat="1" ht="16.2" thickBot="1" x14ac:dyDescent="0.35">
      <c r="A5" s="125" t="s">
        <v>54</v>
      </c>
      <c r="B5" s="125" t="s">
        <v>172</v>
      </c>
      <c r="C5" s="125" t="s">
        <v>196</v>
      </c>
      <c r="D5" s="125" t="s">
        <v>198</v>
      </c>
      <c r="E5" s="125" t="s">
        <v>51</v>
      </c>
      <c r="F5" s="125" t="s">
        <v>264</v>
      </c>
      <c r="G5" s="125" t="s">
        <v>268</v>
      </c>
      <c r="H5" s="125" t="s">
        <v>272</v>
      </c>
      <c r="I5" s="125" t="s">
        <v>259</v>
      </c>
      <c r="J5" s="125" t="s">
        <v>46</v>
      </c>
      <c r="K5" s="517"/>
      <c r="L5" s="417" t="s">
        <v>189</v>
      </c>
      <c r="M5" s="547">
        <f>'[3]29 June'!$H$10</f>
        <v>11764009.93</v>
      </c>
      <c r="N5" s="419" t="s">
        <v>218</v>
      </c>
      <c r="O5" s="527"/>
    </row>
    <row r="6" spans="1:15" ht="3.6" customHeight="1" thickBot="1" x14ac:dyDescent="0.3">
      <c r="A6" s="735"/>
      <c r="B6" s="736"/>
      <c r="C6" s="736"/>
      <c r="D6" s="736"/>
      <c r="E6" s="736"/>
      <c r="F6" s="736"/>
      <c r="G6" s="736"/>
      <c r="H6" s="736"/>
      <c r="I6" s="736"/>
      <c r="J6" s="737"/>
      <c r="L6" s="417"/>
      <c r="M6" s="592"/>
      <c r="N6" s="419" t="s">
        <v>214</v>
      </c>
    </row>
    <row r="7" spans="1:15" ht="15.6" x14ac:dyDescent="0.3">
      <c r="A7" s="126" t="s">
        <v>169</v>
      </c>
      <c r="B7" s="319">
        <v>350000000</v>
      </c>
      <c r="C7" s="319">
        <f>150000000</f>
        <v>150000000</v>
      </c>
      <c r="D7" s="319">
        <f>92000000</f>
        <v>92000000</v>
      </c>
      <c r="E7" s="319">
        <v>150000000</v>
      </c>
      <c r="F7" s="319">
        <v>450000000</v>
      </c>
      <c r="G7" s="319">
        <v>200000000</v>
      </c>
      <c r="H7" s="319">
        <v>200000000</v>
      </c>
      <c r="I7" s="319">
        <v>0</v>
      </c>
      <c r="J7" s="325">
        <f>B7+C7+D7+F7+E7</f>
        <v>1192000000</v>
      </c>
      <c r="L7" s="417" t="s">
        <v>51</v>
      </c>
      <c r="M7" s="547">
        <f>'[3]29 June'!$H$6</f>
        <v>1360935.25</v>
      </c>
      <c r="N7" s="419" t="s">
        <v>218</v>
      </c>
      <c r="O7" s="92"/>
    </row>
    <row r="8" spans="1:15" ht="15.6" x14ac:dyDescent="0.3">
      <c r="A8" s="127" t="s">
        <v>106</v>
      </c>
      <c r="B8" s="535">
        <f>219780*281+219780*281</f>
        <v>123516360</v>
      </c>
      <c r="C8" s="229">
        <f>126500*280.5</f>
        <v>35483250</v>
      </c>
      <c r="D8" s="229">
        <f>498580.5*77</f>
        <v>38390698.5</v>
      </c>
      <c r="E8" s="229">
        <f>27697*281</f>
        <v>7782857</v>
      </c>
      <c r="F8" s="229"/>
      <c r="G8" s="229"/>
      <c r="H8" s="229"/>
      <c r="I8" s="229">
        <v>0</v>
      </c>
      <c r="J8" s="229">
        <f>+SUM(B8:I8)</f>
        <v>205173165.5</v>
      </c>
      <c r="K8" s="92"/>
      <c r="L8" s="417" t="s">
        <v>271</v>
      </c>
      <c r="M8" s="547">
        <f>'[3]23 June'!$H$13</f>
        <v>261676.50999999791</v>
      </c>
      <c r="N8" s="419" t="s">
        <v>218</v>
      </c>
      <c r="O8" s="92"/>
    </row>
    <row r="9" spans="1:15" ht="15.6" x14ac:dyDescent="0.3">
      <c r="A9" s="129" t="s">
        <v>107</v>
      </c>
      <c r="B9" s="229">
        <v>0</v>
      </c>
      <c r="C9" s="310"/>
      <c r="D9" s="310">
        <v>0</v>
      </c>
      <c r="E9" s="310">
        <v>0</v>
      </c>
      <c r="F9" s="310">
        <v>0</v>
      </c>
      <c r="G9" s="310"/>
      <c r="H9" s="310"/>
      <c r="I9" s="310">
        <v>0</v>
      </c>
      <c r="J9" s="229">
        <f>+SUM(B9:I9)</f>
        <v>0</v>
      </c>
      <c r="K9" s="92"/>
      <c r="L9" s="417" t="s">
        <v>188</v>
      </c>
      <c r="M9" s="547">
        <f>'[3]29 June'!$H$12</f>
        <v>14722.029999999329</v>
      </c>
      <c r="N9" s="419" t="s">
        <v>218</v>
      </c>
      <c r="O9" s="531"/>
    </row>
    <row r="10" spans="1:15" ht="16.2" thickBot="1" x14ac:dyDescent="0.35">
      <c r="A10" s="129" t="s">
        <v>60</v>
      </c>
      <c r="B10" s="310">
        <v>0</v>
      </c>
      <c r="C10" s="310">
        <v>0</v>
      </c>
      <c r="D10" s="310">
        <v>0</v>
      </c>
      <c r="E10" s="310">
        <v>0</v>
      </c>
      <c r="F10" s="310">
        <v>0</v>
      </c>
      <c r="G10" s="310"/>
      <c r="H10" s="310"/>
      <c r="I10" s="310">
        <v>0</v>
      </c>
      <c r="J10" s="229">
        <f>+SUM(B10:I10)</f>
        <v>0</v>
      </c>
      <c r="L10" s="420"/>
      <c r="M10" s="421">
        <f>SUM(M2:M9)</f>
        <v>13443209.549999997</v>
      </c>
      <c r="N10" s="419"/>
    </row>
    <row r="11" spans="1:15" ht="16.2" thickTop="1" x14ac:dyDescent="0.3">
      <c r="A11" s="129"/>
      <c r="B11" s="129"/>
      <c r="C11" s="129"/>
      <c r="D11" s="129"/>
      <c r="E11" s="129"/>
      <c r="F11" s="129"/>
      <c r="G11" s="129"/>
      <c r="H11" s="129"/>
      <c r="I11" s="129"/>
      <c r="J11" s="229">
        <f>+SUM(B11:I11)</f>
        <v>0</v>
      </c>
    </row>
    <row r="12" spans="1:15" ht="16.2" thickBot="1" x14ac:dyDescent="0.35">
      <c r="A12" s="321" t="s">
        <v>55</v>
      </c>
      <c r="B12" s="322">
        <f>+B7-B9-B8-B10-B16</f>
        <v>92483639.997999996</v>
      </c>
      <c r="C12" s="322">
        <f>+C7-C8-C9-C10-C16</f>
        <v>78759251.430000007</v>
      </c>
      <c r="D12" s="322">
        <f>+D7-D8-D9-D10-D16-D22</f>
        <v>5025960.6300000027</v>
      </c>
      <c r="E12" s="322">
        <f>+E7-E8-E9-E10-E16-E22</f>
        <v>19143527.75</v>
      </c>
      <c r="F12" s="322">
        <f>+F7-F8-F9-F10-F16-F17</f>
        <v>5650420.1445000172</v>
      </c>
      <c r="G12" s="322">
        <f>+G7-G8-G9-G10-G16-G17</f>
        <v>200000000</v>
      </c>
      <c r="H12" s="322">
        <f>+H7-H8-H9-H10-H16-H22</f>
        <v>200000000</v>
      </c>
      <c r="I12" s="322">
        <v>0</v>
      </c>
      <c r="J12" s="322">
        <f>B12+C12+D12+F12+E12+I12</f>
        <v>201062799.95250002</v>
      </c>
    </row>
    <row r="13" spans="1:15" ht="16.8" thickTop="1" thickBot="1" x14ac:dyDescent="0.35">
      <c r="A13" s="721"/>
      <c r="B13" s="722"/>
      <c r="C13" s="722"/>
      <c r="D13" s="722"/>
      <c r="E13" s="722"/>
      <c r="F13" s="722"/>
      <c r="G13" s="722"/>
      <c r="H13" s="722"/>
      <c r="I13" s="722"/>
      <c r="J13" s="723"/>
    </row>
    <row r="14" spans="1:15" ht="16.2" thickBot="1" x14ac:dyDescent="0.35">
      <c r="A14" s="132" t="s">
        <v>61</v>
      </c>
      <c r="B14" s="132" t="s">
        <v>173</v>
      </c>
      <c r="C14" s="132" t="s">
        <v>266</v>
      </c>
      <c r="D14" s="132" t="s">
        <v>261</v>
      </c>
      <c r="E14" s="132" t="s">
        <v>261</v>
      </c>
      <c r="F14" s="132" t="s">
        <v>201</v>
      </c>
      <c r="G14" s="132" t="s">
        <v>269</v>
      </c>
      <c r="H14" s="132" t="s">
        <v>270</v>
      </c>
      <c r="I14" s="132" t="s">
        <v>267</v>
      </c>
      <c r="J14" s="402"/>
    </row>
    <row r="15" spans="1:15" ht="15.6" x14ac:dyDescent="0.3">
      <c r="A15" s="518" t="s">
        <v>109</v>
      </c>
      <c r="B15" s="404">
        <v>350000000</v>
      </c>
      <c r="C15" s="404">
        <f>150000000</f>
        <v>150000000</v>
      </c>
      <c r="D15" s="405">
        <f>92000000</f>
        <v>92000000</v>
      </c>
      <c r="E15" s="405">
        <v>150000000</v>
      </c>
      <c r="F15" s="405">
        <v>450000000</v>
      </c>
      <c r="G15" s="405">
        <v>200000000</v>
      </c>
      <c r="H15" s="405">
        <v>200000000</v>
      </c>
      <c r="I15" s="405">
        <v>150000000</v>
      </c>
      <c r="J15" s="613">
        <f>B15+C15+D15+F15+I15+E15</f>
        <v>1342000000</v>
      </c>
      <c r="K15" s="97"/>
    </row>
    <row r="16" spans="1:15" ht="15.6" x14ac:dyDescent="0.3">
      <c r="A16" s="519" t="s">
        <v>105</v>
      </c>
      <c r="B16" s="403">
        <f>'MCB-FATR '!D35</f>
        <v>134000000.002</v>
      </c>
      <c r="C16" s="403">
        <f>'SONERI-FATR'!C35</f>
        <v>35757498.569999993</v>
      </c>
      <c r="D16" s="403">
        <f>'HBL-FATR'!C85</f>
        <v>0</v>
      </c>
      <c r="E16" s="568">
        <f>'BOP-FATR'!D35</f>
        <v>73250831.25</v>
      </c>
      <c r="F16" s="568">
        <f>'ASKARI-FATR'!G35</f>
        <v>444349579.85549998</v>
      </c>
      <c r="G16" s="607"/>
      <c r="H16" s="607"/>
      <c r="I16" s="543">
        <f>'NBP-Musawammah'!C35</f>
        <v>44000000</v>
      </c>
      <c r="J16" s="520">
        <f>SUM(B16:I16)</f>
        <v>731357909.67750001</v>
      </c>
      <c r="K16" s="230"/>
    </row>
    <row r="17" spans="1:256" ht="16.2" thickBot="1" x14ac:dyDescent="0.35">
      <c r="A17" s="581" t="s">
        <v>108</v>
      </c>
      <c r="B17" s="582">
        <v>0</v>
      </c>
      <c r="C17" s="582">
        <v>0</v>
      </c>
      <c r="D17" s="582">
        <v>0</v>
      </c>
      <c r="E17" s="583">
        <v>0</v>
      </c>
      <c r="F17" s="583">
        <v>0</v>
      </c>
      <c r="G17" s="608"/>
      <c r="H17" s="608"/>
      <c r="I17" s="584">
        <v>0</v>
      </c>
      <c r="J17" s="585">
        <f>SUM(B17:I17)</f>
        <v>0</v>
      </c>
      <c r="O17" s="92"/>
    </row>
    <row r="18" spans="1:256" ht="16.2" thickBot="1" x14ac:dyDescent="0.35">
      <c r="A18" s="586" t="s">
        <v>98</v>
      </c>
      <c r="B18" s="587">
        <f>+B15-B8-B16-B17</f>
        <v>92483639.997999996</v>
      </c>
      <c r="C18" s="587">
        <f>+C15-C8-C16-C9-C17-C10</f>
        <v>78759251.430000007</v>
      </c>
      <c r="D18" s="587">
        <f>+D15-D8-D16-D9-D22-D17-D10</f>
        <v>5025960.6300000027</v>
      </c>
      <c r="E18" s="588">
        <f>+E15-E8-E16-E22-E17</f>
        <v>19143527.75</v>
      </c>
      <c r="F18" s="587">
        <f>+F15-F8-F16-F9-F22-F17</f>
        <v>5650420.1445000172</v>
      </c>
      <c r="G18" s="587">
        <f>+G15-G8-G16-G9-G22-G17</f>
        <v>200000000</v>
      </c>
      <c r="H18" s="587">
        <f>+H15-H8-H16-H9-H22-H17-H10</f>
        <v>200000000</v>
      </c>
      <c r="I18" s="589">
        <f>+I15-I8-I16-I17</f>
        <v>106000000</v>
      </c>
      <c r="J18" s="609">
        <f>B18+C18+D18+F18+I18+E18</f>
        <v>307062799.95249999</v>
      </c>
      <c r="P18" s="92"/>
    </row>
    <row r="19" spans="1:256" ht="16.2" thickBot="1" x14ac:dyDescent="0.35">
      <c r="A19" s="724"/>
      <c r="B19" s="725"/>
      <c r="C19" s="725"/>
      <c r="D19" s="725"/>
      <c r="E19" s="725"/>
      <c r="F19" s="725"/>
      <c r="G19" s="725"/>
      <c r="H19" s="725"/>
      <c r="I19" s="725"/>
      <c r="J19" s="726"/>
      <c r="P19" s="593"/>
    </row>
    <row r="20" spans="1:256" ht="16.2" thickBot="1" x14ac:dyDescent="0.35">
      <c r="A20" s="578" t="s">
        <v>61</v>
      </c>
      <c r="B20" s="132" t="s">
        <v>173</v>
      </c>
      <c r="C20" s="579" t="s">
        <v>197</v>
      </c>
      <c r="D20" s="578" t="s">
        <v>200</v>
      </c>
      <c r="E20" s="132" t="s">
        <v>261</v>
      </c>
      <c r="F20" s="132"/>
      <c r="G20" s="132"/>
      <c r="H20" s="132" t="s">
        <v>270</v>
      </c>
      <c r="I20" s="132"/>
      <c r="J20" s="580"/>
    </row>
    <row r="21" spans="1:256" ht="15.6" x14ac:dyDescent="0.3">
      <c r="A21" s="575" t="s">
        <v>56</v>
      </c>
      <c r="B21" s="319">
        <v>150000000</v>
      </c>
      <c r="C21" s="576">
        <v>50000000</v>
      </c>
      <c r="D21" s="574">
        <v>50000000</v>
      </c>
      <c r="E21" s="574">
        <v>50000000</v>
      </c>
      <c r="F21" s="574"/>
      <c r="G21" s="574"/>
      <c r="H21" s="574">
        <v>100000000</v>
      </c>
      <c r="I21" s="574"/>
      <c r="J21" s="577">
        <f>SUM(B21:E21)</f>
        <v>300000000</v>
      </c>
      <c r="K21" s="514"/>
      <c r="P21" s="593"/>
    </row>
    <row r="22" spans="1:256" ht="15.6" x14ac:dyDescent="0.3">
      <c r="A22" s="328" t="s">
        <v>57</v>
      </c>
      <c r="B22" s="600">
        <f>'MCB-RF '!E35</f>
        <v>0</v>
      </c>
      <c r="C22" s="598">
        <f>'SONERI-RF'!E35</f>
        <v>0</v>
      </c>
      <c r="D22" s="320">
        <f>'HBL-RF'!E35</f>
        <v>48583340.869999997</v>
      </c>
      <c r="E22" s="611">
        <f>'BOP-RF'!E35</f>
        <v>49822784</v>
      </c>
      <c r="F22" s="320"/>
      <c r="G22" s="320"/>
      <c r="H22" s="320"/>
      <c r="I22" s="320"/>
      <c r="J22" s="406">
        <f>SUM(B22:I22)</f>
        <v>98406124.870000005</v>
      </c>
      <c r="K22" s="92"/>
      <c r="L22" s="424"/>
    </row>
    <row r="23" spans="1:256" ht="16.2" thickBot="1" x14ac:dyDescent="0.35">
      <c r="A23" s="329" t="s">
        <v>185</v>
      </c>
      <c r="B23" s="601">
        <v>0</v>
      </c>
      <c r="C23" s="599">
        <v>0</v>
      </c>
      <c r="D23" s="310">
        <v>0</v>
      </c>
      <c r="E23" s="310">
        <v>0</v>
      </c>
      <c r="F23" s="310"/>
      <c r="G23" s="310"/>
      <c r="H23" s="310"/>
      <c r="I23" s="310"/>
      <c r="J23" s="538">
        <f>M10</f>
        <v>13443209.549999997</v>
      </c>
      <c r="K23" s="97"/>
      <c r="L23" s="423"/>
    </row>
    <row r="24" spans="1:256" ht="16.2" thickBot="1" x14ac:dyDescent="0.35">
      <c r="A24" s="539" t="s">
        <v>58</v>
      </c>
      <c r="B24" s="540">
        <f>+B21-B22</f>
        <v>150000000</v>
      </c>
      <c r="C24" s="541">
        <f>+C21-C22+C23</f>
        <v>50000000</v>
      </c>
      <c r="D24" s="540">
        <f>(+D21-D22)</f>
        <v>1416659.1300000027</v>
      </c>
      <c r="E24" s="540">
        <f>(+E21-E22)</f>
        <v>177216</v>
      </c>
      <c r="F24" s="540"/>
      <c r="G24" s="540"/>
      <c r="H24" s="540">
        <f>(+H21-H22)</f>
        <v>100000000</v>
      </c>
      <c r="I24" s="540"/>
      <c r="J24" s="542">
        <f>SUM(B24:E24)+J23</f>
        <v>215037084.68000001</v>
      </c>
      <c r="K24" s="97"/>
    </row>
    <row r="25" spans="1:256" s="227" customFormat="1" ht="2.4" customHeight="1" x14ac:dyDescent="0.3">
      <c r="A25" s="720"/>
      <c r="B25" s="720"/>
      <c r="C25" s="720"/>
      <c r="D25" s="720"/>
      <c r="E25" s="720"/>
      <c r="F25" s="720"/>
      <c r="G25" s="720"/>
      <c r="H25" s="720"/>
      <c r="I25" s="720"/>
      <c r="J25" s="720"/>
      <c r="L25" s="423"/>
      <c r="M25" s="384"/>
      <c r="N25" s="124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27" customFormat="1" ht="15.6" x14ac:dyDescent="0.3">
      <c r="A26" s="393" t="s">
        <v>253</v>
      </c>
      <c r="B26" s="547">
        <f t="shared" ref="B26:B32" si="0">M2</f>
        <v>16552</v>
      </c>
      <c r="C26" s="124" t="s">
        <v>218</v>
      </c>
      <c r="E26" s="385"/>
      <c r="F26" s="385"/>
      <c r="G26" s="385"/>
      <c r="H26" s="385"/>
      <c r="L26" s="394"/>
      <c r="M26" s="385"/>
      <c r="N26" s="401"/>
    </row>
    <row r="27" spans="1:256" s="227" customFormat="1" ht="15.6" x14ac:dyDescent="0.3">
      <c r="A27" s="424" t="s">
        <v>198</v>
      </c>
      <c r="B27" s="547">
        <f t="shared" si="0"/>
        <v>25313.83</v>
      </c>
      <c r="C27" s="425" t="s">
        <v>218</v>
      </c>
      <c r="L27" s="394"/>
      <c r="M27" s="385"/>
      <c r="N27" s="401"/>
    </row>
    <row r="28" spans="1:256" s="227" customFormat="1" ht="1.2" customHeight="1" x14ac:dyDescent="0.3">
      <c r="A28" s="424"/>
      <c r="B28" s="547">
        <f t="shared" si="0"/>
        <v>0</v>
      </c>
      <c r="C28" s="425"/>
      <c r="L28" s="394"/>
      <c r="M28" s="385"/>
      <c r="N28" s="401"/>
    </row>
    <row r="29" spans="1:256" ht="15.6" x14ac:dyDescent="0.3">
      <c r="A29" s="417" t="s">
        <v>189</v>
      </c>
      <c r="B29" s="547">
        <f t="shared" si="0"/>
        <v>11764009.93</v>
      </c>
      <c r="C29" s="419" t="s">
        <v>218</v>
      </c>
      <c r="D29" s="593"/>
      <c r="J29" s="593"/>
      <c r="L29" s="394"/>
      <c r="M29" s="385"/>
      <c r="N29" s="401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7"/>
      <c r="BM29" s="227"/>
      <c r="BN29" s="227"/>
      <c r="BO29" s="227"/>
      <c r="BP29" s="227"/>
      <c r="BQ29" s="227"/>
      <c r="BR29" s="227"/>
      <c r="BS29" s="227"/>
      <c r="BT29" s="227"/>
      <c r="BU29" s="227"/>
      <c r="BV29" s="227"/>
      <c r="BW29" s="227"/>
      <c r="BX29" s="227"/>
      <c r="BY29" s="227"/>
      <c r="BZ29" s="227"/>
      <c r="CA29" s="227"/>
      <c r="CB29" s="227"/>
      <c r="CC29" s="227"/>
      <c r="CD29" s="227"/>
      <c r="CE29" s="227"/>
      <c r="CF29" s="227"/>
      <c r="CG29" s="227"/>
      <c r="CH29" s="227"/>
      <c r="CI29" s="227"/>
      <c r="CJ29" s="227"/>
      <c r="CK29" s="227"/>
      <c r="CL29" s="227"/>
      <c r="CM29" s="227"/>
      <c r="CN29" s="227"/>
      <c r="CO29" s="227"/>
      <c r="CP29" s="227"/>
      <c r="CQ29" s="227"/>
      <c r="CR29" s="227"/>
      <c r="CS29" s="227"/>
      <c r="CT29" s="227"/>
      <c r="CU29" s="227"/>
      <c r="CV29" s="227"/>
      <c r="CW29" s="227"/>
      <c r="CX29" s="227"/>
      <c r="CY29" s="227"/>
      <c r="CZ29" s="227"/>
      <c r="DA29" s="227"/>
      <c r="DB29" s="227"/>
      <c r="DC29" s="227"/>
      <c r="DD29" s="227"/>
      <c r="DE29" s="227"/>
      <c r="DF29" s="227"/>
      <c r="DG29" s="227"/>
      <c r="DH29" s="227"/>
      <c r="DI29" s="227"/>
      <c r="DJ29" s="227"/>
      <c r="DK29" s="227"/>
      <c r="DL29" s="227"/>
      <c r="DM29" s="227"/>
      <c r="DN29" s="227"/>
      <c r="DO29" s="227"/>
      <c r="DP29" s="227"/>
      <c r="DQ29" s="227"/>
      <c r="DR29" s="227"/>
      <c r="DS29" s="227"/>
      <c r="DT29" s="227"/>
      <c r="DU29" s="227"/>
      <c r="DV29" s="227"/>
      <c r="DW29" s="227"/>
      <c r="DX29" s="227"/>
      <c r="DY29" s="227"/>
      <c r="DZ29" s="227"/>
      <c r="EA29" s="227"/>
      <c r="EB29" s="227"/>
      <c r="EC29" s="227"/>
      <c r="ED29" s="227"/>
      <c r="EE29" s="227"/>
      <c r="EF29" s="227"/>
      <c r="EG29" s="227"/>
      <c r="EH29" s="227"/>
      <c r="EI29" s="227"/>
      <c r="EJ29" s="227"/>
      <c r="EK29" s="227"/>
      <c r="EL29" s="227"/>
      <c r="EM29" s="227"/>
      <c r="EN29" s="227"/>
      <c r="EO29" s="227"/>
      <c r="EP29" s="227"/>
      <c r="EQ29" s="227"/>
      <c r="ER29" s="227"/>
      <c r="ES29" s="227"/>
      <c r="ET29" s="227"/>
      <c r="EU29" s="227"/>
      <c r="EV29" s="227"/>
      <c r="EW29" s="227"/>
      <c r="EX29" s="227"/>
      <c r="EY29" s="227"/>
      <c r="EZ29" s="227"/>
      <c r="FA29" s="227"/>
      <c r="FB29" s="227"/>
      <c r="FC29" s="227"/>
      <c r="FD29" s="227"/>
      <c r="FE29" s="227"/>
      <c r="FF29" s="227"/>
      <c r="FG29" s="227"/>
      <c r="FH29" s="227"/>
      <c r="FI29" s="227"/>
      <c r="FJ29" s="227"/>
      <c r="FK29" s="227"/>
      <c r="FL29" s="227"/>
      <c r="FM29" s="227"/>
      <c r="FN29" s="227"/>
      <c r="FO29" s="227"/>
      <c r="FP29" s="227"/>
      <c r="FQ29" s="227"/>
      <c r="FR29" s="227"/>
      <c r="FS29" s="227"/>
      <c r="FT29" s="227"/>
      <c r="FU29" s="227"/>
      <c r="FV29" s="227"/>
      <c r="FW29" s="227"/>
      <c r="FX29" s="227"/>
      <c r="FY29" s="227"/>
      <c r="FZ29" s="227"/>
      <c r="GA29" s="227"/>
      <c r="GB29" s="227"/>
      <c r="GC29" s="227"/>
      <c r="GD29" s="227"/>
      <c r="GE29" s="227"/>
      <c r="GF29" s="227"/>
      <c r="GG29" s="227"/>
      <c r="GH29" s="227"/>
      <c r="GI29" s="227"/>
      <c r="GJ29" s="227"/>
      <c r="GK29" s="227"/>
      <c r="GL29" s="227"/>
      <c r="GM29" s="227"/>
      <c r="GN29" s="227"/>
      <c r="GO29" s="227"/>
      <c r="GP29" s="227"/>
      <c r="GQ29" s="227"/>
      <c r="GR29" s="227"/>
      <c r="GS29" s="227"/>
      <c r="GT29" s="227"/>
      <c r="GU29" s="227"/>
      <c r="GV29" s="227"/>
      <c r="GW29" s="227"/>
      <c r="GX29" s="227"/>
      <c r="GY29" s="227"/>
      <c r="GZ29" s="227"/>
      <c r="HA29" s="227"/>
      <c r="HB29" s="227"/>
      <c r="HC29" s="227"/>
      <c r="HD29" s="227"/>
      <c r="HE29" s="227"/>
      <c r="HF29" s="227"/>
      <c r="HG29" s="227"/>
      <c r="HH29" s="227"/>
      <c r="HI29" s="227"/>
      <c r="HJ29" s="227"/>
      <c r="HK29" s="227"/>
      <c r="HL29" s="227"/>
      <c r="HM29" s="227"/>
      <c r="HN29" s="227"/>
      <c r="HO29" s="227"/>
      <c r="HP29" s="227"/>
      <c r="HQ29" s="227"/>
      <c r="HR29" s="227"/>
      <c r="HS29" s="227"/>
      <c r="HT29" s="227"/>
      <c r="HU29" s="227"/>
      <c r="HV29" s="227"/>
      <c r="HW29" s="227"/>
      <c r="HX29" s="227"/>
      <c r="HY29" s="227"/>
      <c r="HZ29" s="227"/>
      <c r="IA29" s="227"/>
      <c r="IB29" s="227"/>
      <c r="IC29" s="227"/>
      <c r="ID29" s="227"/>
      <c r="IE29" s="227"/>
      <c r="IF29" s="227"/>
      <c r="IG29" s="227"/>
      <c r="IH29" s="227"/>
      <c r="II29" s="227"/>
      <c r="IJ29" s="227"/>
      <c r="IK29" s="227"/>
      <c r="IL29" s="227"/>
      <c r="IM29" s="227"/>
      <c r="IN29" s="227"/>
      <c r="IO29" s="227"/>
      <c r="IP29" s="227"/>
      <c r="IQ29" s="227"/>
      <c r="IR29" s="227"/>
      <c r="IS29" s="227"/>
      <c r="IT29" s="227"/>
      <c r="IU29" s="227"/>
      <c r="IV29" s="227"/>
    </row>
    <row r="30" spans="1:256" ht="2.4" customHeight="1" x14ac:dyDescent="0.25">
      <c r="A30" s="417"/>
      <c r="B30" s="547">
        <f t="shared" si="0"/>
        <v>0</v>
      </c>
      <c r="C30" s="419"/>
    </row>
    <row r="31" spans="1:256" x14ac:dyDescent="0.25">
      <c r="A31" s="417" t="s">
        <v>51</v>
      </c>
      <c r="B31" s="547">
        <f t="shared" si="0"/>
        <v>1360935.25</v>
      </c>
      <c r="C31" s="419" t="s">
        <v>218</v>
      </c>
    </row>
    <row r="32" spans="1:256" x14ac:dyDescent="0.25">
      <c r="A32" s="417" t="s">
        <v>271</v>
      </c>
      <c r="B32" s="547">
        <f t="shared" si="0"/>
        <v>261676.50999999791</v>
      </c>
      <c r="C32" s="419" t="s">
        <v>218</v>
      </c>
      <c r="D32" s="593"/>
    </row>
    <row r="33" spans="1:3" x14ac:dyDescent="0.25">
      <c r="A33" s="417" t="s">
        <v>188</v>
      </c>
      <c r="B33" s="547">
        <f>M9</f>
        <v>14722.029999999329</v>
      </c>
      <c r="C33" s="419" t="s">
        <v>218</v>
      </c>
    </row>
    <row r="34" spans="1:3" ht="16.2" thickBot="1" x14ac:dyDescent="0.35">
      <c r="A34" s="420"/>
      <c r="B34" s="421">
        <f>SUM(B26:B33)</f>
        <v>13443209.549999997</v>
      </c>
      <c r="C34" s="419"/>
    </row>
    <row r="35" spans="1:3" ht="15.6" thickTop="1" x14ac:dyDescent="0.25"/>
  </sheetData>
  <mergeCells count="8">
    <mergeCell ref="A25:J25"/>
    <mergeCell ref="A13:J13"/>
    <mergeCell ref="A19:J19"/>
    <mergeCell ref="A1:J1"/>
    <mergeCell ref="A2:J2"/>
    <mergeCell ref="A3:J3"/>
    <mergeCell ref="A4:J4"/>
    <mergeCell ref="A6:J6"/>
  </mergeCells>
  <printOptions horizontalCentered="1"/>
  <pageMargins left="0.25" right="0.25" top="0.75" bottom="0.75" header="0.3" footer="0.3"/>
  <pageSetup paperSize="9"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22371-7802-4577-82B6-8590F999E406}">
  <sheetPr codeName="Sheet8">
    <pageSetUpPr fitToPage="1"/>
  </sheetPr>
  <dimension ref="A1:I87"/>
  <sheetViews>
    <sheetView showGridLines="0" topLeftCell="A17" zoomScaleNormal="100" workbookViewId="0">
      <selection activeCell="D86" sqref="D86"/>
    </sheetView>
  </sheetViews>
  <sheetFormatPr defaultColWidth="10.6328125" defaultRowHeight="13.8" x14ac:dyDescent="0.3"/>
  <cols>
    <col min="1" max="2" width="15.1796875" style="2" customWidth="1"/>
    <col min="3" max="3" width="14" style="232" customWidth="1"/>
    <col min="4" max="4" width="14.26953125" style="2" customWidth="1"/>
    <col min="5" max="6" width="11" style="2" bestFit="1" customWidth="1"/>
    <col min="7" max="7" width="10.08984375" style="2" bestFit="1" customWidth="1"/>
    <col min="8" max="8" width="8.81640625" style="2" customWidth="1"/>
    <col min="9" max="16384" width="10.6328125" style="2"/>
  </cols>
  <sheetData>
    <row r="1" spans="1:9" ht="18" x14ac:dyDescent="0.35">
      <c r="A1" s="740" t="s">
        <v>186</v>
      </c>
      <c r="B1" s="740"/>
      <c r="C1" s="740"/>
      <c r="D1" s="740"/>
    </row>
    <row r="2" spans="1:9" ht="18.600000000000001" thickBot="1" x14ac:dyDescent="0.4">
      <c r="A2" s="414" t="s">
        <v>183</v>
      </c>
      <c r="B2" s="414"/>
      <c r="C2" s="415"/>
      <c r="D2" s="416">
        <f>'FINANCIAL COST SUMMARY '!I2</f>
        <v>46174</v>
      </c>
    </row>
    <row r="3" spans="1:9" x14ac:dyDescent="0.3">
      <c r="A3" s="741"/>
      <c r="B3" s="741"/>
      <c r="C3" s="741"/>
      <c r="D3" s="741"/>
    </row>
    <row r="4" spans="1:9" s="232" customFormat="1" x14ac:dyDescent="0.3">
      <c r="A4" s="536" t="s">
        <v>23</v>
      </c>
      <c r="B4" s="536"/>
      <c r="C4" s="536"/>
      <c r="D4" s="537" t="s">
        <v>257</v>
      </c>
    </row>
    <row r="5" spans="1:9" s="234" customFormat="1" ht="41.4" x14ac:dyDescent="0.3">
      <c r="A5" s="94" t="s">
        <v>4</v>
      </c>
      <c r="B5" s="318" t="s">
        <v>290</v>
      </c>
      <c r="C5" s="318" t="s">
        <v>289</v>
      </c>
      <c r="D5" s="233" t="s">
        <v>0</v>
      </c>
      <c r="F5" s="235"/>
      <c r="H5" s="235"/>
    </row>
    <row r="6" spans="1:9" x14ac:dyDescent="0.3">
      <c r="A6" s="236">
        <v>46174</v>
      </c>
      <c r="B6" s="650"/>
      <c r="C6" s="392"/>
      <c r="D6" s="68">
        <f>SUM(C6:C6)</f>
        <v>0</v>
      </c>
      <c r="F6" s="314">
        <v>46176</v>
      </c>
      <c r="G6" s="315">
        <v>120</v>
      </c>
      <c r="H6" s="314">
        <f>F6+G6</f>
        <v>46296</v>
      </c>
    </row>
    <row r="7" spans="1:9" x14ac:dyDescent="0.3">
      <c r="A7" s="236">
        <f>+A6+1</f>
        <v>46175</v>
      </c>
      <c r="B7" s="650"/>
      <c r="C7" s="392"/>
      <c r="D7" s="68">
        <f>SUM(C7:C7)</f>
        <v>0</v>
      </c>
      <c r="E7" s="312"/>
      <c r="F7" s="528"/>
      <c r="G7" s="529"/>
      <c r="H7" s="528"/>
      <c r="I7" s="530"/>
    </row>
    <row r="8" spans="1:9" x14ac:dyDescent="0.3">
      <c r="A8" s="236">
        <f t="shared" ref="A8:A35" si="0">+A7+1</f>
        <v>46176</v>
      </c>
      <c r="B8" s="610">
        <f>209107.5*281.1-80118.25</f>
        <v>58700000.000000007</v>
      </c>
      <c r="C8" s="392">
        <f>267942.22*281.1-18558.04</f>
        <v>75300000.001999989</v>
      </c>
      <c r="D8" s="68">
        <f>SUM(B8:C8)</f>
        <v>134000000.002</v>
      </c>
      <c r="F8" s="312"/>
    </row>
    <row r="9" spans="1:9" x14ac:dyDescent="0.3">
      <c r="A9" s="236">
        <f t="shared" si="0"/>
        <v>46177</v>
      </c>
      <c r="B9" s="610">
        <f t="shared" ref="B9:B35" si="1">209107.5*281.1-80118.25</f>
        <v>58700000.000000007</v>
      </c>
      <c r="C9" s="392">
        <f t="shared" ref="C9:C35" si="2">267942.22*281.1-18558.04</f>
        <v>75300000.001999989</v>
      </c>
      <c r="D9" s="68">
        <f t="shared" ref="D9:D35" si="3">SUM(B9:C9)</f>
        <v>134000000.002</v>
      </c>
      <c r="F9" s="104"/>
      <c r="H9" s="104"/>
    </row>
    <row r="10" spans="1:9" x14ac:dyDescent="0.3">
      <c r="A10" s="236">
        <f t="shared" si="0"/>
        <v>46178</v>
      </c>
      <c r="B10" s="610">
        <f t="shared" si="1"/>
        <v>58700000.000000007</v>
      </c>
      <c r="C10" s="392">
        <f t="shared" si="2"/>
        <v>75300000.001999989</v>
      </c>
      <c r="D10" s="68">
        <f t="shared" si="3"/>
        <v>134000000.002</v>
      </c>
    </row>
    <row r="11" spans="1:9" x14ac:dyDescent="0.3">
      <c r="A11" s="236">
        <f t="shared" si="0"/>
        <v>46179</v>
      </c>
      <c r="B11" s="610">
        <f t="shared" si="1"/>
        <v>58700000.000000007</v>
      </c>
      <c r="C11" s="392">
        <f t="shared" si="2"/>
        <v>75300000.001999989</v>
      </c>
      <c r="D11" s="68">
        <f t="shared" si="3"/>
        <v>134000000.002</v>
      </c>
    </row>
    <row r="12" spans="1:9" x14ac:dyDescent="0.3">
      <c r="A12" s="236">
        <f t="shared" si="0"/>
        <v>46180</v>
      </c>
      <c r="B12" s="610">
        <f t="shared" si="1"/>
        <v>58700000.000000007</v>
      </c>
      <c r="C12" s="392">
        <f t="shared" si="2"/>
        <v>75300000.001999989</v>
      </c>
      <c r="D12" s="68">
        <f t="shared" si="3"/>
        <v>134000000.002</v>
      </c>
    </row>
    <row r="13" spans="1:9" x14ac:dyDescent="0.3">
      <c r="A13" s="236">
        <f t="shared" si="0"/>
        <v>46181</v>
      </c>
      <c r="B13" s="610">
        <f t="shared" si="1"/>
        <v>58700000.000000007</v>
      </c>
      <c r="C13" s="392">
        <f t="shared" si="2"/>
        <v>75300000.001999989</v>
      </c>
      <c r="D13" s="68">
        <f t="shared" si="3"/>
        <v>134000000.002</v>
      </c>
      <c r="E13" s="312"/>
    </row>
    <row r="14" spans="1:9" x14ac:dyDescent="0.3">
      <c r="A14" s="236">
        <f t="shared" si="0"/>
        <v>46182</v>
      </c>
      <c r="B14" s="610">
        <f t="shared" si="1"/>
        <v>58700000.000000007</v>
      </c>
      <c r="C14" s="392">
        <f t="shared" si="2"/>
        <v>75300000.001999989</v>
      </c>
      <c r="D14" s="68">
        <f t="shared" si="3"/>
        <v>134000000.002</v>
      </c>
      <c r="E14" s="69"/>
    </row>
    <row r="15" spans="1:9" x14ac:dyDescent="0.3">
      <c r="A15" s="236">
        <f t="shared" si="0"/>
        <v>46183</v>
      </c>
      <c r="B15" s="610">
        <f t="shared" si="1"/>
        <v>58700000.000000007</v>
      </c>
      <c r="C15" s="392">
        <f t="shared" si="2"/>
        <v>75300000.001999989</v>
      </c>
      <c r="D15" s="68">
        <f t="shared" si="3"/>
        <v>134000000.002</v>
      </c>
    </row>
    <row r="16" spans="1:9" x14ac:dyDescent="0.3">
      <c r="A16" s="236">
        <f t="shared" si="0"/>
        <v>46184</v>
      </c>
      <c r="B16" s="610">
        <f t="shared" si="1"/>
        <v>58700000.000000007</v>
      </c>
      <c r="C16" s="392">
        <f t="shared" si="2"/>
        <v>75300000.001999989</v>
      </c>
      <c r="D16" s="68">
        <f t="shared" si="3"/>
        <v>134000000.002</v>
      </c>
    </row>
    <row r="17" spans="1:8" x14ac:dyDescent="0.3">
      <c r="A17" s="236">
        <f t="shared" si="0"/>
        <v>46185</v>
      </c>
      <c r="B17" s="610">
        <f t="shared" si="1"/>
        <v>58700000.000000007</v>
      </c>
      <c r="C17" s="392">
        <f t="shared" si="2"/>
        <v>75300000.001999989</v>
      </c>
      <c r="D17" s="68">
        <f t="shared" si="3"/>
        <v>134000000.002</v>
      </c>
    </row>
    <row r="18" spans="1:8" x14ac:dyDescent="0.3">
      <c r="A18" s="236">
        <f t="shared" si="0"/>
        <v>46186</v>
      </c>
      <c r="B18" s="610">
        <f t="shared" si="1"/>
        <v>58700000.000000007</v>
      </c>
      <c r="C18" s="392">
        <f t="shared" si="2"/>
        <v>75300000.001999989</v>
      </c>
      <c r="D18" s="68">
        <f t="shared" si="3"/>
        <v>134000000.002</v>
      </c>
    </row>
    <row r="19" spans="1:8" x14ac:dyDescent="0.3">
      <c r="A19" s="236">
        <f t="shared" si="0"/>
        <v>46187</v>
      </c>
      <c r="B19" s="610">
        <f t="shared" si="1"/>
        <v>58700000.000000007</v>
      </c>
      <c r="C19" s="392">
        <f t="shared" si="2"/>
        <v>75300000.001999989</v>
      </c>
      <c r="D19" s="68">
        <f t="shared" si="3"/>
        <v>134000000.002</v>
      </c>
    </row>
    <row r="20" spans="1:8" x14ac:dyDescent="0.3">
      <c r="A20" s="236">
        <f t="shared" si="0"/>
        <v>46188</v>
      </c>
      <c r="B20" s="610">
        <f t="shared" si="1"/>
        <v>58700000.000000007</v>
      </c>
      <c r="C20" s="392">
        <f t="shared" si="2"/>
        <v>75300000.001999989</v>
      </c>
      <c r="D20" s="68">
        <f t="shared" si="3"/>
        <v>134000000.002</v>
      </c>
    </row>
    <row r="21" spans="1:8" x14ac:dyDescent="0.3">
      <c r="A21" s="236">
        <f t="shared" si="0"/>
        <v>46189</v>
      </c>
      <c r="B21" s="610">
        <f t="shared" si="1"/>
        <v>58700000.000000007</v>
      </c>
      <c r="C21" s="392">
        <f t="shared" si="2"/>
        <v>75300000.001999989</v>
      </c>
      <c r="D21" s="68">
        <f t="shared" si="3"/>
        <v>134000000.002</v>
      </c>
    </row>
    <row r="22" spans="1:8" s="523" customFormat="1" x14ac:dyDescent="0.3">
      <c r="A22" s="522">
        <f t="shared" si="0"/>
        <v>46190</v>
      </c>
      <c r="B22" s="610">
        <f t="shared" si="1"/>
        <v>58700000.000000007</v>
      </c>
      <c r="C22" s="392">
        <f t="shared" si="2"/>
        <v>75300000.001999989</v>
      </c>
      <c r="D22" s="68">
        <f t="shared" si="3"/>
        <v>134000000.002</v>
      </c>
      <c r="H22" s="612"/>
    </row>
    <row r="23" spans="1:8" x14ac:dyDescent="0.3">
      <c r="A23" s="236">
        <f t="shared" si="0"/>
        <v>46191</v>
      </c>
      <c r="B23" s="610">
        <f t="shared" si="1"/>
        <v>58700000.000000007</v>
      </c>
      <c r="C23" s="392">
        <f t="shared" si="2"/>
        <v>75300000.001999989</v>
      </c>
      <c r="D23" s="68">
        <f t="shared" si="3"/>
        <v>134000000.002</v>
      </c>
    </row>
    <row r="24" spans="1:8" x14ac:dyDescent="0.3">
      <c r="A24" s="236">
        <f t="shared" si="0"/>
        <v>46192</v>
      </c>
      <c r="B24" s="610">
        <f t="shared" si="1"/>
        <v>58700000.000000007</v>
      </c>
      <c r="C24" s="392">
        <f t="shared" si="2"/>
        <v>75300000.001999989</v>
      </c>
      <c r="D24" s="68">
        <f t="shared" si="3"/>
        <v>134000000.002</v>
      </c>
    </row>
    <row r="25" spans="1:8" x14ac:dyDescent="0.3">
      <c r="A25" s="236">
        <f t="shared" si="0"/>
        <v>46193</v>
      </c>
      <c r="B25" s="610">
        <f t="shared" si="1"/>
        <v>58700000.000000007</v>
      </c>
      <c r="C25" s="392">
        <f t="shared" si="2"/>
        <v>75300000.001999989</v>
      </c>
      <c r="D25" s="68">
        <f t="shared" si="3"/>
        <v>134000000.002</v>
      </c>
    </row>
    <row r="26" spans="1:8" x14ac:dyDescent="0.3">
      <c r="A26" s="236">
        <f t="shared" si="0"/>
        <v>46194</v>
      </c>
      <c r="B26" s="610">
        <f t="shared" si="1"/>
        <v>58700000.000000007</v>
      </c>
      <c r="C26" s="392">
        <f t="shared" si="2"/>
        <v>75300000.001999989</v>
      </c>
      <c r="D26" s="68">
        <f t="shared" si="3"/>
        <v>134000000.002</v>
      </c>
    </row>
    <row r="27" spans="1:8" x14ac:dyDescent="0.3">
      <c r="A27" s="236">
        <f t="shared" si="0"/>
        <v>46195</v>
      </c>
      <c r="B27" s="610">
        <f t="shared" si="1"/>
        <v>58700000.000000007</v>
      </c>
      <c r="C27" s="392">
        <f t="shared" si="2"/>
        <v>75300000.001999989</v>
      </c>
      <c r="D27" s="68">
        <f t="shared" si="3"/>
        <v>134000000.002</v>
      </c>
    </row>
    <row r="28" spans="1:8" x14ac:dyDescent="0.3">
      <c r="A28" s="236">
        <f t="shared" si="0"/>
        <v>46196</v>
      </c>
      <c r="B28" s="610">
        <f t="shared" si="1"/>
        <v>58700000.000000007</v>
      </c>
      <c r="C28" s="392">
        <f t="shared" si="2"/>
        <v>75300000.001999989</v>
      </c>
      <c r="D28" s="68">
        <f t="shared" si="3"/>
        <v>134000000.002</v>
      </c>
    </row>
    <row r="29" spans="1:8" x14ac:dyDescent="0.3">
      <c r="A29" s="236">
        <f t="shared" si="0"/>
        <v>46197</v>
      </c>
      <c r="B29" s="610">
        <f t="shared" si="1"/>
        <v>58700000.000000007</v>
      </c>
      <c r="C29" s="392">
        <f t="shared" si="2"/>
        <v>75300000.001999989</v>
      </c>
      <c r="D29" s="68">
        <f t="shared" si="3"/>
        <v>134000000.002</v>
      </c>
      <c r="E29" s="232"/>
    </row>
    <row r="30" spans="1:8" x14ac:dyDescent="0.3">
      <c r="A30" s="236">
        <f t="shared" si="0"/>
        <v>46198</v>
      </c>
      <c r="B30" s="610">
        <f t="shared" si="1"/>
        <v>58700000.000000007</v>
      </c>
      <c r="C30" s="392">
        <f t="shared" si="2"/>
        <v>75300000.001999989</v>
      </c>
      <c r="D30" s="68">
        <f t="shared" si="3"/>
        <v>134000000.002</v>
      </c>
    </row>
    <row r="31" spans="1:8" x14ac:dyDescent="0.3">
      <c r="A31" s="236">
        <f t="shared" si="0"/>
        <v>46199</v>
      </c>
      <c r="B31" s="610">
        <f t="shared" si="1"/>
        <v>58700000.000000007</v>
      </c>
      <c r="C31" s="392">
        <f t="shared" si="2"/>
        <v>75300000.001999989</v>
      </c>
      <c r="D31" s="68">
        <f t="shared" si="3"/>
        <v>134000000.002</v>
      </c>
    </row>
    <row r="32" spans="1:8" x14ac:dyDescent="0.3">
      <c r="A32" s="236">
        <f t="shared" si="0"/>
        <v>46200</v>
      </c>
      <c r="B32" s="610">
        <f t="shared" si="1"/>
        <v>58700000.000000007</v>
      </c>
      <c r="C32" s="392">
        <f t="shared" si="2"/>
        <v>75300000.001999989</v>
      </c>
      <c r="D32" s="68">
        <f t="shared" si="3"/>
        <v>134000000.002</v>
      </c>
      <c r="F32" s="104"/>
      <c r="H32" s="104"/>
    </row>
    <row r="33" spans="1:8" x14ac:dyDescent="0.3">
      <c r="A33" s="236">
        <f t="shared" si="0"/>
        <v>46201</v>
      </c>
      <c r="B33" s="610">
        <f t="shared" si="1"/>
        <v>58700000.000000007</v>
      </c>
      <c r="C33" s="392">
        <f t="shared" si="2"/>
        <v>75300000.001999989</v>
      </c>
      <c r="D33" s="68">
        <f t="shared" si="3"/>
        <v>134000000.002</v>
      </c>
      <c r="F33" s="104"/>
      <c r="H33" s="104"/>
    </row>
    <row r="34" spans="1:8" x14ac:dyDescent="0.3">
      <c r="A34" s="236">
        <f t="shared" si="0"/>
        <v>46202</v>
      </c>
      <c r="B34" s="610">
        <f t="shared" si="1"/>
        <v>58700000.000000007</v>
      </c>
      <c r="C34" s="392">
        <f t="shared" si="2"/>
        <v>75300000.001999989</v>
      </c>
      <c r="D34" s="68">
        <f t="shared" si="3"/>
        <v>134000000.002</v>
      </c>
      <c r="F34" s="104"/>
      <c r="H34" s="104"/>
    </row>
    <row r="35" spans="1:8" x14ac:dyDescent="0.3">
      <c r="A35" s="236">
        <f t="shared" si="0"/>
        <v>46203</v>
      </c>
      <c r="B35" s="610">
        <f t="shared" si="1"/>
        <v>58700000.000000007</v>
      </c>
      <c r="C35" s="392">
        <f t="shared" si="2"/>
        <v>75300000.001999989</v>
      </c>
      <c r="D35" s="68">
        <f t="shared" si="3"/>
        <v>134000000.002</v>
      </c>
      <c r="F35" s="104"/>
      <c r="H35" s="104"/>
    </row>
    <row r="36" spans="1:8" x14ac:dyDescent="0.3">
      <c r="A36" s="395"/>
      <c r="B36" s="395"/>
      <c r="C36" s="429"/>
      <c r="D36" s="397"/>
    </row>
    <row r="37" spans="1:8" x14ac:dyDescent="0.3">
      <c r="A37" s="742" t="s">
        <v>45</v>
      </c>
      <c r="B37" s="742"/>
      <c r="C37" s="742"/>
      <c r="D37" s="742"/>
    </row>
    <row r="38" spans="1:8" s="234" customFormat="1" ht="41.4" x14ac:dyDescent="0.3">
      <c r="A38" s="94" t="s">
        <v>4</v>
      </c>
      <c r="B38" s="237" t="str">
        <f>B5</f>
        <v>1398LCS260682
C.D 03.06.2026 
M.D. 01.10.2026</v>
      </c>
      <c r="C38" s="237" t="str">
        <f>C5</f>
        <v>1398LCS260689
C.D 03.06.2026 
M.D. 01.10.2026</v>
      </c>
      <c r="D38" s="233" t="s">
        <v>0</v>
      </c>
    </row>
    <row r="39" spans="1:8" s="117" customFormat="1" ht="27.6" x14ac:dyDescent="0.25">
      <c r="A39" s="313" t="s">
        <v>175</v>
      </c>
      <c r="B39" s="323">
        <f>12.01%+1%</f>
        <v>0.13009999999999999</v>
      </c>
      <c r="C39" s="323">
        <f>12.01%+1%</f>
        <v>0.13009999999999999</v>
      </c>
      <c r="D39" s="238"/>
    </row>
    <row r="40" spans="1:8" x14ac:dyDescent="0.3">
      <c r="A40" s="236">
        <f t="shared" ref="A40:A69" si="4">+A6</f>
        <v>46174</v>
      </c>
      <c r="B40" s="68">
        <f>IF(B6&lt;0,0,B6*B$39/365)</f>
        <v>0</v>
      </c>
      <c r="C40" s="68">
        <f>IF(C6&lt;0,0,C6*C$39/365)</f>
        <v>0</v>
      </c>
      <c r="D40" s="68">
        <f>SUM(B40:C40)</f>
        <v>0</v>
      </c>
    </row>
    <row r="41" spans="1:8" x14ac:dyDescent="0.3">
      <c r="A41" s="236">
        <f t="shared" si="4"/>
        <v>46175</v>
      </c>
      <c r="B41" s="68">
        <f t="shared" ref="B41:B69" si="5">IF(B7&lt;0,0,B7*B$39/365)</f>
        <v>0</v>
      </c>
      <c r="C41" s="68">
        <f t="shared" ref="C41:C69" si="6">IF(C7&lt;0,0,C7*C$39/365)</f>
        <v>0</v>
      </c>
      <c r="D41" s="68">
        <f t="shared" ref="D41:D69" si="7">SUM(B41:C41)</f>
        <v>0</v>
      </c>
    </row>
    <row r="42" spans="1:8" x14ac:dyDescent="0.3">
      <c r="A42" s="236">
        <f t="shared" si="4"/>
        <v>46176</v>
      </c>
      <c r="B42" s="68">
        <f t="shared" si="5"/>
        <v>20922.931506849316</v>
      </c>
      <c r="C42" s="68">
        <f t="shared" si="6"/>
        <v>26839.808219890954</v>
      </c>
      <c r="D42" s="68">
        <f t="shared" si="7"/>
        <v>47762.73972674027</v>
      </c>
    </row>
    <row r="43" spans="1:8" x14ac:dyDescent="0.3">
      <c r="A43" s="236">
        <f t="shared" si="4"/>
        <v>46177</v>
      </c>
      <c r="B43" s="68">
        <f t="shared" si="5"/>
        <v>20922.931506849316</v>
      </c>
      <c r="C43" s="68">
        <f t="shared" si="6"/>
        <v>26839.808219890954</v>
      </c>
      <c r="D43" s="68">
        <f t="shared" si="7"/>
        <v>47762.73972674027</v>
      </c>
    </row>
    <row r="44" spans="1:8" x14ac:dyDescent="0.3">
      <c r="A44" s="236">
        <f t="shared" si="4"/>
        <v>46178</v>
      </c>
      <c r="B44" s="68">
        <f t="shared" si="5"/>
        <v>20922.931506849316</v>
      </c>
      <c r="C44" s="68">
        <f t="shared" si="6"/>
        <v>26839.808219890954</v>
      </c>
      <c r="D44" s="68">
        <f t="shared" si="7"/>
        <v>47762.73972674027</v>
      </c>
    </row>
    <row r="45" spans="1:8" x14ac:dyDescent="0.3">
      <c r="A45" s="236">
        <f t="shared" si="4"/>
        <v>46179</v>
      </c>
      <c r="B45" s="68">
        <f t="shared" si="5"/>
        <v>20922.931506849316</v>
      </c>
      <c r="C45" s="68">
        <f t="shared" si="6"/>
        <v>26839.808219890954</v>
      </c>
      <c r="D45" s="68">
        <f t="shared" si="7"/>
        <v>47762.73972674027</v>
      </c>
    </row>
    <row r="46" spans="1:8" x14ac:dyDescent="0.3">
      <c r="A46" s="236">
        <f t="shared" si="4"/>
        <v>46180</v>
      </c>
      <c r="B46" s="68">
        <f t="shared" si="5"/>
        <v>20922.931506849316</v>
      </c>
      <c r="C46" s="68">
        <f t="shared" si="6"/>
        <v>26839.808219890954</v>
      </c>
      <c r="D46" s="68">
        <f t="shared" si="7"/>
        <v>47762.73972674027</v>
      </c>
    </row>
    <row r="47" spans="1:8" x14ac:dyDescent="0.3">
      <c r="A47" s="236">
        <f t="shared" si="4"/>
        <v>46181</v>
      </c>
      <c r="B47" s="68">
        <f t="shared" si="5"/>
        <v>20922.931506849316</v>
      </c>
      <c r="C47" s="68">
        <f t="shared" si="6"/>
        <v>26839.808219890954</v>
      </c>
      <c r="D47" s="68">
        <f t="shared" si="7"/>
        <v>47762.73972674027</v>
      </c>
    </row>
    <row r="48" spans="1:8" x14ac:dyDescent="0.3">
      <c r="A48" s="236">
        <f t="shared" si="4"/>
        <v>46182</v>
      </c>
      <c r="B48" s="68">
        <f t="shared" si="5"/>
        <v>20922.931506849316</v>
      </c>
      <c r="C48" s="68">
        <f t="shared" si="6"/>
        <v>26839.808219890954</v>
      </c>
      <c r="D48" s="68">
        <f t="shared" si="7"/>
        <v>47762.73972674027</v>
      </c>
    </row>
    <row r="49" spans="1:4" x14ac:dyDescent="0.3">
      <c r="A49" s="236">
        <f t="shared" si="4"/>
        <v>46183</v>
      </c>
      <c r="B49" s="68">
        <f t="shared" si="5"/>
        <v>20922.931506849316</v>
      </c>
      <c r="C49" s="68">
        <f t="shared" si="6"/>
        <v>26839.808219890954</v>
      </c>
      <c r="D49" s="68">
        <f t="shared" si="7"/>
        <v>47762.73972674027</v>
      </c>
    </row>
    <row r="50" spans="1:4" x14ac:dyDescent="0.3">
      <c r="A50" s="236">
        <f t="shared" si="4"/>
        <v>46184</v>
      </c>
      <c r="B50" s="68">
        <f t="shared" si="5"/>
        <v>20922.931506849316</v>
      </c>
      <c r="C50" s="68">
        <f t="shared" si="6"/>
        <v>26839.808219890954</v>
      </c>
      <c r="D50" s="68">
        <f t="shared" si="7"/>
        <v>47762.73972674027</v>
      </c>
    </row>
    <row r="51" spans="1:4" x14ac:dyDescent="0.3">
      <c r="A51" s="236">
        <f t="shared" si="4"/>
        <v>46185</v>
      </c>
      <c r="B51" s="68">
        <f t="shared" si="5"/>
        <v>20922.931506849316</v>
      </c>
      <c r="C51" s="68">
        <f t="shared" si="6"/>
        <v>26839.808219890954</v>
      </c>
      <c r="D51" s="68">
        <f t="shared" si="7"/>
        <v>47762.73972674027</v>
      </c>
    </row>
    <row r="52" spans="1:4" x14ac:dyDescent="0.3">
      <c r="A52" s="236">
        <f t="shared" si="4"/>
        <v>46186</v>
      </c>
      <c r="B52" s="68">
        <f t="shared" si="5"/>
        <v>20922.931506849316</v>
      </c>
      <c r="C52" s="68">
        <f t="shared" si="6"/>
        <v>26839.808219890954</v>
      </c>
      <c r="D52" s="68">
        <f t="shared" si="7"/>
        <v>47762.73972674027</v>
      </c>
    </row>
    <row r="53" spans="1:4" x14ac:dyDescent="0.3">
      <c r="A53" s="236">
        <f t="shared" si="4"/>
        <v>46187</v>
      </c>
      <c r="B53" s="68">
        <f t="shared" si="5"/>
        <v>20922.931506849316</v>
      </c>
      <c r="C53" s="68">
        <f t="shared" si="6"/>
        <v>26839.808219890954</v>
      </c>
      <c r="D53" s="68">
        <f t="shared" si="7"/>
        <v>47762.73972674027</v>
      </c>
    </row>
    <row r="54" spans="1:4" x14ac:dyDescent="0.3">
      <c r="A54" s="236">
        <f t="shared" si="4"/>
        <v>46188</v>
      </c>
      <c r="B54" s="68">
        <f t="shared" si="5"/>
        <v>20922.931506849316</v>
      </c>
      <c r="C54" s="68">
        <f t="shared" si="6"/>
        <v>26839.808219890954</v>
      </c>
      <c r="D54" s="68">
        <f t="shared" si="7"/>
        <v>47762.73972674027</v>
      </c>
    </row>
    <row r="55" spans="1:4" x14ac:dyDescent="0.3">
      <c r="A55" s="236">
        <f t="shared" si="4"/>
        <v>46189</v>
      </c>
      <c r="B55" s="68">
        <f t="shared" si="5"/>
        <v>20922.931506849316</v>
      </c>
      <c r="C55" s="68">
        <f t="shared" si="6"/>
        <v>26839.808219890954</v>
      </c>
      <c r="D55" s="68">
        <f t="shared" si="7"/>
        <v>47762.73972674027</v>
      </c>
    </row>
    <row r="56" spans="1:4" x14ac:dyDescent="0.3">
      <c r="A56" s="236">
        <f t="shared" si="4"/>
        <v>46190</v>
      </c>
      <c r="B56" s="68">
        <f t="shared" si="5"/>
        <v>20922.931506849316</v>
      </c>
      <c r="C56" s="68">
        <f t="shared" si="6"/>
        <v>26839.808219890954</v>
      </c>
      <c r="D56" s="68">
        <f t="shared" si="7"/>
        <v>47762.73972674027</v>
      </c>
    </row>
    <row r="57" spans="1:4" x14ac:dyDescent="0.3">
      <c r="A57" s="236">
        <f t="shared" si="4"/>
        <v>46191</v>
      </c>
      <c r="B57" s="68">
        <f t="shared" si="5"/>
        <v>20922.931506849316</v>
      </c>
      <c r="C57" s="68">
        <f t="shared" si="6"/>
        <v>26839.808219890954</v>
      </c>
      <c r="D57" s="68">
        <f t="shared" si="7"/>
        <v>47762.73972674027</v>
      </c>
    </row>
    <row r="58" spans="1:4" x14ac:dyDescent="0.3">
      <c r="A58" s="236">
        <f t="shared" si="4"/>
        <v>46192</v>
      </c>
      <c r="B58" s="68">
        <f t="shared" si="5"/>
        <v>20922.931506849316</v>
      </c>
      <c r="C58" s="68">
        <f t="shared" si="6"/>
        <v>26839.808219890954</v>
      </c>
      <c r="D58" s="68">
        <f t="shared" si="7"/>
        <v>47762.73972674027</v>
      </c>
    </row>
    <row r="59" spans="1:4" x14ac:dyDescent="0.3">
      <c r="A59" s="236">
        <f t="shared" si="4"/>
        <v>46193</v>
      </c>
      <c r="B59" s="68">
        <f t="shared" si="5"/>
        <v>20922.931506849316</v>
      </c>
      <c r="C59" s="68">
        <f t="shared" si="6"/>
        <v>26839.808219890954</v>
      </c>
      <c r="D59" s="68">
        <f t="shared" si="7"/>
        <v>47762.73972674027</v>
      </c>
    </row>
    <row r="60" spans="1:4" x14ac:dyDescent="0.3">
      <c r="A60" s="236">
        <f t="shared" si="4"/>
        <v>46194</v>
      </c>
      <c r="B60" s="68">
        <f t="shared" si="5"/>
        <v>20922.931506849316</v>
      </c>
      <c r="C60" s="68">
        <f t="shared" si="6"/>
        <v>26839.808219890954</v>
      </c>
      <c r="D60" s="68">
        <f t="shared" si="7"/>
        <v>47762.73972674027</v>
      </c>
    </row>
    <row r="61" spans="1:4" x14ac:dyDescent="0.3">
      <c r="A61" s="236">
        <f t="shared" si="4"/>
        <v>46195</v>
      </c>
      <c r="B61" s="68">
        <f t="shared" si="5"/>
        <v>20922.931506849316</v>
      </c>
      <c r="C61" s="68">
        <f t="shared" si="6"/>
        <v>26839.808219890954</v>
      </c>
      <c r="D61" s="68">
        <f t="shared" si="7"/>
        <v>47762.73972674027</v>
      </c>
    </row>
    <row r="62" spans="1:4" x14ac:dyDescent="0.3">
      <c r="A62" s="236">
        <f t="shared" si="4"/>
        <v>46196</v>
      </c>
      <c r="B62" s="68">
        <f t="shared" si="5"/>
        <v>20922.931506849316</v>
      </c>
      <c r="C62" s="68">
        <f t="shared" si="6"/>
        <v>26839.808219890954</v>
      </c>
      <c r="D62" s="68">
        <f t="shared" si="7"/>
        <v>47762.73972674027</v>
      </c>
    </row>
    <row r="63" spans="1:4" ht="14.4" customHeight="1" x14ac:dyDescent="0.3">
      <c r="A63" s="236">
        <f t="shared" si="4"/>
        <v>46197</v>
      </c>
      <c r="B63" s="68">
        <f t="shared" si="5"/>
        <v>20922.931506849316</v>
      </c>
      <c r="C63" s="68">
        <f t="shared" si="6"/>
        <v>26839.808219890954</v>
      </c>
      <c r="D63" s="68">
        <f t="shared" si="7"/>
        <v>47762.73972674027</v>
      </c>
    </row>
    <row r="64" spans="1:4" x14ac:dyDescent="0.3">
      <c r="A64" s="236">
        <f t="shared" si="4"/>
        <v>46198</v>
      </c>
      <c r="B64" s="68">
        <f t="shared" si="5"/>
        <v>20922.931506849316</v>
      </c>
      <c r="C64" s="68">
        <f t="shared" si="6"/>
        <v>26839.808219890954</v>
      </c>
      <c r="D64" s="68">
        <f t="shared" si="7"/>
        <v>47762.73972674027</v>
      </c>
    </row>
    <row r="65" spans="1:8" x14ac:dyDescent="0.3">
      <c r="A65" s="236">
        <f t="shared" si="4"/>
        <v>46199</v>
      </c>
      <c r="B65" s="68">
        <f t="shared" si="5"/>
        <v>20922.931506849316</v>
      </c>
      <c r="C65" s="68">
        <f t="shared" si="6"/>
        <v>26839.808219890954</v>
      </c>
      <c r="D65" s="68">
        <f t="shared" si="7"/>
        <v>47762.73972674027</v>
      </c>
    </row>
    <row r="66" spans="1:8" x14ac:dyDescent="0.3">
      <c r="A66" s="236">
        <f t="shared" si="4"/>
        <v>46200</v>
      </c>
      <c r="B66" s="68">
        <f t="shared" si="5"/>
        <v>20922.931506849316</v>
      </c>
      <c r="C66" s="68">
        <f t="shared" si="6"/>
        <v>26839.808219890954</v>
      </c>
      <c r="D66" s="68">
        <f t="shared" si="7"/>
        <v>47762.73972674027</v>
      </c>
    </row>
    <row r="67" spans="1:8" x14ac:dyDescent="0.3">
      <c r="A67" s="236">
        <f t="shared" si="4"/>
        <v>46201</v>
      </c>
      <c r="B67" s="68">
        <f t="shared" si="5"/>
        <v>20922.931506849316</v>
      </c>
      <c r="C67" s="68">
        <f t="shared" si="6"/>
        <v>26839.808219890954</v>
      </c>
      <c r="D67" s="68">
        <f t="shared" si="7"/>
        <v>47762.73972674027</v>
      </c>
    </row>
    <row r="68" spans="1:8" x14ac:dyDescent="0.3">
      <c r="A68" s="236">
        <f t="shared" si="4"/>
        <v>46202</v>
      </c>
      <c r="B68" s="68">
        <f t="shared" si="5"/>
        <v>20922.931506849316</v>
      </c>
      <c r="C68" s="68">
        <f t="shared" si="6"/>
        <v>26839.808219890954</v>
      </c>
      <c r="D68" s="68">
        <f t="shared" si="7"/>
        <v>47762.73972674027</v>
      </c>
    </row>
    <row r="69" spans="1:8" x14ac:dyDescent="0.3">
      <c r="A69" s="236">
        <f t="shared" si="4"/>
        <v>46203</v>
      </c>
      <c r="B69" s="68">
        <f t="shared" si="5"/>
        <v>20922.931506849316</v>
      </c>
      <c r="C69" s="68">
        <f t="shared" si="6"/>
        <v>26839.808219890954</v>
      </c>
      <c r="D69" s="68">
        <f t="shared" si="7"/>
        <v>47762.73972674027</v>
      </c>
    </row>
    <row r="70" spans="1:8" x14ac:dyDescent="0.3">
      <c r="A70" s="8" t="s">
        <v>18</v>
      </c>
      <c r="B70" s="239">
        <f>SUM(B40:B67)</f>
        <v>543996.21917808196</v>
      </c>
      <c r="C70" s="239">
        <f>SUM(C40:C67)</f>
        <v>697835.0137171644</v>
      </c>
      <c r="D70" s="239">
        <f>SUM(D40:D69)</f>
        <v>1337356.712348727</v>
      </c>
      <c r="E70" s="312"/>
    </row>
    <row r="71" spans="1:8" x14ac:dyDescent="0.3">
      <c r="A71" s="739"/>
      <c r="B71" s="739"/>
      <c r="C71" s="739"/>
      <c r="D71" s="739"/>
    </row>
    <row r="72" spans="1:8" x14ac:dyDescent="0.3">
      <c r="A72" s="742" t="s">
        <v>52</v>
      </c>
      <c r="B72" s="742"/>
      <c r="C72" s="742"/>
      <c r="D72" s="742"/>
    </row>
    <row r="73" spans="1:8" s="234" customFormat="1" ht="41.4" x14ac:dyDescent="0.3">
      <c r="A73" s="94" t="s">
        <v>22</v>
      </c>
      <c r="B73" s="237" t="str">
        <f>B5</f>
        <v>1398LCS260682
C.D 03.06.2026 
M.D. 01.10.2026</v>
      </c>
      <c r="C73" s="237" t="str">
        <f>C5</f>
        <v>1398LCS260689
C.D 03.06.2026 
M.D. 01.10.2026</v>
      </c>
      <c r="D73" s="233" t="s">
        <v>0</v>
      </c>
    </row>
    <row r="74" spans="1:8" x14ac:dyDescent="0.3">
      <c r="A74" s="240" t="s">
        <v>19</v>
      </c>
      <c r="B74" s="168">
        <v>0</v>
      </c>
      <c r="C74" s="168">
        <v>0</v>
      </c>
      <c r="D74" s="521">
        <f>SUM(C74:C74)</f>
        <v>0</v>
      </c>
      <c r="E74" s="193"/>
    </row>
    <row r="75" spans="1:8" x14ac:dyDescent="0.3">
      <c r="A75" s="240" t="s">
        <v>20</v>
      </c>
      <c r="B75" s="68">
        <f>B70</f>
        <v>543996.21917808196</v>
      </c>
      <c r="C75" s="68">
        <f>C70</f>
        <v>697835.0137171644</v>
      </c>
      <c r="D75" s="392">
        <f>SUM(B75:C75)</f>
        <v>1241831.2328952462</v>
      </c>
      <c r="F75" s="69"/>
      <c r="G75" s="312"/>
    </row>
    <row r="76" spans="1:8" x14ac:dyDescent="0.3">
      <c r="A76" s="240" t="s">
        <v>29</v>
      </c>
      <c r="B76" s="215"/>
      <c r="C76" s="215"/>
      <c r="D76" s="392">
        <f>SUM(B76:C76)</f>
        <v>0</v>
      </c>
      <c r="F76" s="312"/>
    </row>
    <row r="77" spans="1:8" x14ac:dyDescent="0.3">
      <c r="A77" s="240" t="s">
        <v>18</v>
      </c>
      <c r="B77" s="68">
        <f>SUM(B74:B76)</f>
        <v>543996.21917808196</v>
      </c>
      <c r="C77" s="68">
        <f>SUM(C74:C76)</f>
        <v>697835.0137171644</v>
      </c>
      <c r="D77" s="392">
        <f>SUM(B77:C77)</f>
        <v>1241831.2328952462</v>
      </c>
    </row>
    <row r="78" spans="1:8" x14ac:dyDescent="0.3">
      <c r="A78" s="738"/>
      <c r="B78" s="738"/>
      <c r="C78" s="738"/>
      <c r="D78" s="738"/>
    </row>
    <row r="79" spans="1:8" x14ac:dyDescent="0.3">
      <c r="A79" s="241" t="s">
        <v>32</v>
      </c>
      <c r="B79" s="119">
        <v>0</v>
      </c>
      <c r="C79" s="119">
        <v>0</v>
      </c>
      <c r="D79" s="73">
        <f>SUM(C79:C79)</f>
        <v>0</v>
      </c>
      <c r="E79" s="242"/>
      <c r="F79" s="312"/>
      <c r="G79" s="390"/>
      <c r="H79" s="390"/>
    </row>
    <row r="80" spans="1:8" x14ac:dyDescent="0.3">
      <c r="A80" s="739"/>
      <c r="B80" s="739"/>
      <c r="C80" s="739"/>
      <c r="D80" s="739"/>
    </row>
    <row r="81" spans="1:4" x14ac:dyDescent="0.3">
      <c r="A81" s="241" t="s">
        <v>11</v>
      </c>
      <c r="B81" s="119">
        <v>0</v>
      </c>
      <c r="C81" s="119">
        <v>0</v>
      </c>
      <c r="D81" s="73">
        <f>C81</f>
        <v>0</v>
      </c>
    </row>
    <row r="82" spans="1:4" x14ac:dyDescent="0.3">
      <c r="A82" s="739"/>
      <c r="B82" s="739"/>
      <c r="C82" s="739"/>
      <c r="D82" s="739"/>
    </row>
    <row r="83" spans="1:4" x14ac:dyDescent="0.3">
      <c r="A83" s="243" t="s">
        <v>21</v>
      </c>
      <c r="B83" s="74">
        <f>B70+B81+B76</f>
        <v>543996.21917808196</v>
      </c>
      <c r="C83" s="74">
        <f>C70+C81+C76</f>
        <v>697835.0137171644</v>
      </c>
      <c r="D83" s="74">
        <f>SUM(B83:C83)</f>
        <v>1241831.2328952462</v>
      </c>
    </row>
    <row r="84" spans="1:4" x14ac:dyDescent="0.3">
      <c r="A84" s="739"/>
      <c r="B84" s="739"/>
      <c r="C84" s="739"/>
      <c r="D84" s="739"/>
    </row>
    <row r="85" spans="1:4" x14ac:dyDescent="0.3">
      <c r="A85" s="244" t="s">
        <v>33</v>
      </c>
      <c r="B85" s="245">
        <f>B77+B81-B79</f>
        <v>543996.21917808196</v>
      </c>
      <c r="C85" s="245">
        <f>C77+C81-C79</f>
        <v>697835.0137171644</v>
      </c>
      <c r="D85" s="245">
        <f>SUM(B85:C85)</f>
        <v>1241831.2328952462</v>
      </c>
    </row>
    <row r="86" spans="1:4" x14ac:dyDescent="0.3">
      <c r="D86" s="390"/>
    </row>
    <row r="87" spans="1:4" x14ac:dyDescent="0.3">
      <c r="D87" s="398"/>
    </row>
  </sheetData>
  <mergeCells count="9">
    <mergeCell ref="A78:D78"/>
    <mergeCell ref="A80:D80"/>
    <mergeCell ref="A82:D82"/>
    <mergeCell ref="A84:D84"/>
    <mergeCell ref="A1:D1"/>
    <mergeCell ref="A3:D3"/>
    <mergeCell ref="A37:D37"/>
    <mergeCell ref="A71:D71"/>
    <mergeCell ref="A72:D72"/>
  </mergeCells>
  <phoneticPr fontId="29" type="noConversion"/>
  <printOptions horizontalCentered="1" verticalCentered="1"/>
  <pageMargins left="0.25" right="0.25" top="0.5" bottom="0.5" header="0.5" footer="0.5"/>
  <pageSetup scale="42" orientation="landscape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5A318-BE3E-4D2F-9BAD-66F5858D20A7}">
  <sheetPr codeName="Sheet9">
    <pageSetUpPr fitToPage="1"/>
  </sheetPr>
  <dimension ref="A1:M49"/>
  <sheetViews>
    <sheetView showGridLines="0" topLeftCell="A21" zoomScaleNormal="100" workbookViewId="0">
      <selection activeCell="E34" sqref="E34"/>
    </sheetView>
  </sheetViews>
  <sheetFormatPr defaultColWidth="10.6328125" defaultRowHeight="13.8" x14ac:dyDescent="0.3"/>
  <cols>
    <col min="1" max="1" width="9.6328125" style="2" customWidth="1"/>
    <col min="2" max="2" width="15.81640625" style="1" customWidth="1"/>
    <col min="3" max="3" width="8.36328125" style="133" customWidth="1"/>
    <col min="4" max="4" width="8.7265625" style="133" customWidth="1"/>
    <col min="5" max="5" width="12" style="133" customWidth="1"/>
    <col min="6" max="6" width="2.36328125" style="2" customWidth="1"/>
    <col min="7" max="7" width="6.08984375" style="2" customWidth="1"/>
    <col min="8" max="8" width="7.7265625" style="2" customWidth="1"/>
    <col min="9" max="9" width="14.453125" style="2" customWidth="1"/>
    <col min="10" max="10" width="15.90625" style="2" bestFit="1" customWidth="1"/>
    <col min="11" max="11" width="12.26953125" style="1" bestFit="1" customWidth="1"/>
    <col min="12" max="12" width="11.453125" style="2" bestFit="1" customWidth="1"/>
    <col min="13" max="16384" width="10.6328125" style="2"/>
  </cols>
  <sheetData>
    <row r="1" spans="1:12" ht="18" x14ac:dyDescent="0.35">
      <c r="A1" s="748" t="s">
        <v>195</v>
      </c>
      <c r="B1" s="748"/>
      <c r="C1" s="748"/>
      <c r="D1" s="748"/>
      <c r="E1" s="748"/>
      <c r="F1" s="748"/>
      <c r="G1" s="748"/>
      <c r="H1" s="748"/>
      <c r="I1" s="748"/>
      <c r="J1" s="748"/>
    </row>
    <row r="2" spans="1:12" ht="18.600000000000001" thickBot="1" x14ac:dyDescent="0.4">
      <c r="A2" s="749" t="s">
        <v>174</v>
      </c>
      <c r="B2" s="749"/>
      <c r="C2" s="749"/>
      <c r="D2" s="749"/>
      <c r="E2" s="749"/>
      <c r="F2" s="749"/>
      <c r="G2" s="749"/>
      <c r="H2" s="749"/>
      <c r="I2" s="749"/>
      <c r="J2" s="55">
        <f>'FINANCIAL COST SUMMARY '!I2</f>
        <v>46174</v>
      </c>
    </row>
    <row r="3" spans="1:12" x14ac:dyDescent="0.3">
      <c r="A3" s="750"/>
      <c r="B3" s="750"/>
      <c r="C3" s="750"/>
      <c r="D3" s="750"/>
      <c r="E3" s="750"/>
      <c r="F3" s="750"/>
      <c r="G3" s="750"/>
      <c r="H3" s="750"/>
      <c r="I3" s="750"/>
      <c r="J3" s="750"/>
      <c r="K3" s="516">
        <v>123350721.47000001</v>
      </c>
    </row>
    <row r="4" spans="1:12" ht="15.6" customHeight="1" x14ac:dyDescent="0.3">
      <c r="A4" s="751" t="s">
        <v>4</v>
      </c>
      <c r="B4" s="391" t="s">
        <v>160</v>
      </c>
      <c r="C4" s="247" t="s">
        <v>11</v>
      </c>
      <c r="D4" s="248"/>
      <c r="E4" s="246" t="s">
        <v>161</v>
      </c>
      <c r="G4" s="249" t="s">
        <v>162</v>
      </c>
      <c r="H4" s="753" t="s">
        <v>184</v>
      </c>
      <c r="I4" s="250" t="s">
        <v>163</v>
      </c>
      <c r="J4" s="251" t="s">
        <v>164</v>
      </c>
    </row>
    <row r="5" spans="1:12" x14ac:dyDescent="0.3">
      <c r="A5" s="752"/>
      <c r="B5" s="422" t="s">
        <v>1</v>
      </c>
      <c r="C5" s="252" t="s">
        <v>12</v>
      </c>
      <c r="D5" s="252" t="s">
        <v>13</v>
      </c>
      <c r="E5" s="252" t="s">
        <v>165</v>
      </c>
      <c r="G5" s="253" t="s">
        <v>166</v>
      </c>
      <c r="H5" s="754"/>
      <c r="I5" s="254" t="s">
        <v>167</v>
      </c>
      <c r="J5" s="255" t="s">
        <v>168</v>
      </c>
    </row>
    <row r="6" spans="1:12" x14ac:dyDescent="0.3">
      <c r="A6" s="386">
        <v>46174</v>
      </c>
      <c r="B6" s="516">
        <f>-'[1]29 May'!$H$17</f>
        <v>123350721.47000001</v>
      </c>
      <c r="C6" s="410"/>
      <c r="D6" s="256"/>
      <c r="E6" s="68">
        <f>SUM(B6:D6)</f>
        <v>123350721.47000001</v>
      </c>
      <c r="G6" s="257">
        <v>0.01</v>
      </c>
      <c r="H6" s="258">
        <v>0.1119</v>
      </c>
      <c r="I6" s="259">
        <f>+H6+G6</f>
        <v>0.12189999999999999</v>
      </c>
      <c r="J6" s="260">
        <f>IF(E6&lt;0,0,E6*I6/365)</f>
        <v>41195.761499158907</v>
      </c>
      <c r="K6" s="1">
        <f>E6-K3</f>
        <v>0</v>
      </c>
      <c r="L6" s="311"/>
    </row>
    <row r="7" spans="1:12" x14ac:dyDescent="0.3">
      <c r="A7" s="386">
        <f t="shared" ref="A7:A35" si="0">+A6+1</f>
        <v>46175</v>
      </c>
      <c r="B7" s="516">
        <f>-'[3]02 June'!$H$17</f>
        <v>123350756.27000001</v>
      </c>
      <c r="C7" s="410"/>
      <c r="D7" s="256"/>
      <c r="E7" s="68">
        <f t="shared" ref="E7:E32" si="1">SUM(B7:D7)</f>
        <v>123350756.27000001</v>
      </c>
      <c r="G7" s="261">
        <f>+G6</f>
        <v>0.01</v>
      </c>
      <c r="H7" s="258">
        <f>H6</f>
        <v>0.1119</v>
      </c>
      <c r="I7" s="259">
        <f>+H7+G7</f>
        <v>0.12189999999999999</v>
      </c>
      <c r="J7" s="260">
        <f t="shared" ref="J7:J32" si="2">IF(E7&lt;0,0,E7*I7/365)</f>
        <v>41195.77312140548</v>
      </c>
      <c r="K7" s="1">
        <f>+E7-E6</f>
        <v>34.799999997019768</v>
      </c>
    </row>
    <row r="8" spans="1:12" x14ac:dyDescent="0.3">
      <c r="A8" s="386">
        <f t="shared" si="0"/>
        <v>46176</v>
      </c>
      <c r="B8" s="516">
        <f>-'[3]03 June'!$H$17</f>
        <v>123792556.20000002</v>
      </c>
      <c r="C8" s="410"/>
      <c r="D8" s="256"/>
      <c r="E8" s="68">
        <f t="shared" si="1"/>
        <v>123792556.20000002</v>
      </c>
      <c r="G8" s="261">
        <f t="shared" ref="G8:G35" si="3">+G7</f>
        <v>0.01</v>
      </c>
      <c r="H8" s="258">
        <f t="shared" ref="H8:H35" si="4">H7</f>
        <v>0.1119</v>
      </c>
      <c r="I8" s="259">
        <f t="shared" ref="I8:I32" si="5">+H8+G8</f>
        <v>0.12189999999999999</v>
      </c>
      <c r="J8" s="260">
        <f t="shared" si="2"/>
        <v>41343.322193917811</v>
      </c>
      <c r="K8" s="1">
        <f t="shared" ref="K8:K32" si="6">+E8-E7</f>
        <v>441799.93000000715</v>
      </c>
      <c r="L8" s="69"/>
    </row>
    <row r="9" spans="1:12" x14ac:dyDescent="0.3">
      <c r="A9" s="386">
        <f t="shared" si="0"/>
        <v>46177</v>
      </c>
      <c r="B9" s="516">
        <f>-'[3]04 June'!$H$17</f>
        <v>123793859.00000001</v>
      </c>
      <c r="C9" s="410"/>
      <c r="D9" s="256"/>
      <c r="E9" s="68">
        <f t="shared" si="1"/>
        <v>123793859.00000001</v>
      </c>
      <c r="G9" s="261">
        <f t="shared" si="3"/>
        <v>0.01</v>
      </c>
      <c r="H9" s="258">
        <f t="shared" si="4"/>
        <v>0.1119</v>
      </c>
      <c r="I9" s="259">
        <f t="shared" si="5"/>
        <v>0.12189999999999999</v>
      </c>
      <c r="J9" s="260">
        <f t="shared" si="2"/>
        <v>41343.757293424656</v>
      </c>
      <c r="K9" s="1">
        <f t="shared" si="6"/>
        <v>1302.7999999970198</v>
      </c>
    </row>
    <row r="10" spans="1:12" x14ac:dyDescent="0.3">
      <c r="A10" s="236">
        <f t="shared" si="0"/>
        <v>46178</v>
      </c>
      <c r="B10" s="516">
        <f>-'[3]05 June'!$H$17</f>
        <v>123793893.80000001</v>
      </c>
      <c r="C10" s="68"/>
      <c r="D10" s="68"/>
      <c r="E10" s="68">
        <f t="shared" si="1"/>
        <v>123793893.80000001</v>
      </c>
      <c r="G10" s="261">
        <f t="shared" si="3"/>
        <v>0.01</v>
      </c>
      <c r="H10" s="258">
        <f t="shared" si="4"/>
        <v>0.1119</v>
      </c>
      <c r="I10" s="259">
        <f t="shared" si="5"/>
        <v>0.12189999999999999</v>
      </c>
      <c r="J10" s="260">
        <f t="shared" si="2"/>
        <v>41343.768915671229</v>
      </c>
      <c r="K10" s="1">
        <f t="shared" si="6"/>
        <v>34.799999997019768</v>
      </c>
    </row>
    <row r="11" spans="1:12" x14ac:dyDescent="0.3">
      <c r="A11" s="236">
        <f t="shared" si="0"/>
        <v>46179</v>
      </c>
      <c r="B11" s="516">
        <f>-'[3]05 June'!$H$17</f>
        <v>123793893.80000001</v>
      </c>
      <c r="C11" s="68"/>
      <c r="D11" s="68"/>
      <c r="E11" s="68">
        <f>SUM(B11:D11)</f>
        <v>123793893.80000001</v>
      </c>
      <c r="G11" s="261">
        <f t="shared" si="3"/>
        <v>0.01</v>
      </c>
      <c r="H11" s="258">
        <f t="shared" si="4"/>
        <v>0.1119</v>
      </c>
      <c r="I11" s="259">
        <f t="shared" si="5"/>
        <v>0.12189999999999999</v>
      </c>
      <c r="J11" s="260">
        <f t="shared" si="2"/>
        <v>41343.768915671229</v>
      </c>
      <c r="K11" s="1">
        <f t="shared" si="6"/>
        <v>0</v>
      </c>
    </row>
    <row r="12" spans="1:12" x14ac:dyDescent="0.3">
      <c r="A12" s="236">
        <f t="shared" si="0"/>
        <v>46180</v>
      </c>
      <c r="B12" s="516">
        <f>-'[3]05 June'!$H$17</f>
        <v>123793893.80000001</v>
      </c>
      <c r="C12" s="68"/>
      <c r="D12" s="68"/>
      <c r="E12" s="68">
        <f t="shared" si="1"/>
        <v>123793893.80000001</v>
      </c>
      <c r="G12" s="261">
        <f t="shared" si="3"/>
        <v>0.01</v>
      </c>
      <c r="H12" s="258">
        <f t="shared" si="4"/>
        <v>0.1119</v>
      </c>
      <c r="I12" s="259">
        <f t="shared" si="5"/>
        <v>0.12189999999999999</v>
      </c>
      <c r="J12" s="260">
        <f t="shared" si="2"/>
        <v>41343.768915671229</v>
      </c>
      <c r="K12" s="1">
        <f t="shared" si="6"/>
        <v>0</v>
      </c>
      <c r="L12" s="69"/>
    </row>
    <row r="13" spans="1:12" x14ac:dyDescent="0.3">
      <c r="A13" s="236">
        <f t="shared" si="0"/>
        <v>46181</v>
      </c>
      <c r="B13" s="516">
        <f>-'[3]08 June'!$H$17</f>
        <v>94793928.600000024</v>
      </c>
      <c r="C13" s="68"/>
      <c r="D13" s="68"/>
      <c r="E13" s="68">
        <f t="shared" si="1"/>
        <v>94793928.600000024</v>
      </c>
      <c r="G13" s="261">
        <f t="shared" si="3"/>
        <v>0.01</v>
      </c>
      <c r="H13" s="258">
        <f t="shared" si="4"/>
        <v>0.1119</v>
      </c>
      <c r="I13" s="259">
        <f t="shared" si="5"/>
        <v>0.12189999999999999</v>
      </c>
      <c r="J13" s="260">
        <f t="shared" si="2"/>
        <v>31658.575058465762</v>
      </c>
      <c r="K13" s="1">
        <f t="shared" si="6"/>
        <v>-28999965.199999988</v>
      </c>
    </row>
    <row r="14" spans="1:12" x14ac:dyDescent="0.3">
      <c r="A14" s="236">
        <f t="shared" si="0"/>
        <v>46182</v>
      </c>
      <c r="B14" s="516">
        <f>-'[3]09 June'!$H$17</f>
        <v>87993963.400000021</v>
      </c>
      <c r="C14" s="68"/>
      <c r="D14" s="68"/>
      <c r="E14" s="68">
        <f t="shared" si="1"/>
        <v>87993963.400000021</v>
      </c>
      <c r="G14" s="261">
        <f t="shared" si="3"/>
        <v>0.01</v>
      </c>
      <c r="H14" s="258">
        <f t="shared" si="4"/>
        <v>0.1119</v>
      </c>
      <c r="I14" s="259">
        <f t="shared" si="5"/>
        <v>0.12189999999999999</v>
      </c>
      <c r="J14" s="260">
        <f t="shared" si="2"/>
        <v>29387.572982082198</v>
      </c>
      <c r="K14" s="1">
        <f t="shared" si="6"/>
        <v>-6799965.200000003</v>
      </c>
    </row>
    <row r="15" spans="1:12" x14ac:dyDescent="0.3">
      <c r="A15" s="236">
        <f t="shared" si="0"/>
        <v>46183</v>
      </c>
      <c r="B15" s="516">
        <f>-'[3]10 June'!$H$17</f>
        <v>84993998.200000018</v>
      </c>
      <c r="C15" s="262"/>
      <c r="D15" s="68"/>
      <c r="E15" s="68">
        <f t="shared" si="1"/>
        <v>84993998.200000018</v>
      </c>
      <c r="G15" s="261">
        <f t="shared" si="3"/>
        <v>0.01</v>
      </c>
      <c r="H15" s="258">
        <f t="shared" si="4"/>
        <v>0.1119</v>
      </c>
      <c r="I15" s="259">
        <f t="shared" si="5"/>
        <v>0.12189999999999999</v>
      </c>
      <c r="J15" s="260">
        <f t="shared" si="2"/>
        <v>28385.666796109595</v>
      </c>
      <c r="K15" s="1">
        <f t="shared" si="6"/>
        <v>-2999965.200000003</v>
      </c>
    </row>
    <row r="16" spans="1:12" x14ac:dyDescent="0.3">
      <c r="A16" s="236">
        <f t="shared" si="0"/>
        <v>46184</v>
      </c>
      <c r="B16" s="516">
        <f>-'[3]11 June'!$H$17</f>
        <v>124994033.00000001</v>
      </c>
      <c r="C16" s="262"/>
      <c r="D16" s="68"/>
      <c r="E16" s="68">
        <f t="shared" si="1"/>
        <v>124994033.00000001</v>
      </c>
      <c r="G16" s="261">
        <f t="shared" si="3"/>
        <v>0.01</v>
      </c>
      <c r="H16" s="258">
        <f t="shared" si="4"/>
        <v>0.1119</v>
      </c>
      <c r="I16" s="259">
        <f t="shared" si="5"/>
        <v>0.12189999999999999</v>
      </c>
      <c r="J16" s="260">
        <f t="shared" si="2"/>
        <v>41744.582527945211</v>
      </c>
      <c r="K16" s="1">
        <f t="shared" si="6"/>
        <v>40000034.799999997</v>
      </c>
    </row>
    <row r="17" spans="1:13" x14ac:dyDescent="0.3">
      <c r="A17" s="236">
        <f t="shared" si="0"/>
        <v>46185</v>
      </c>
      <c r="B17" s="516">
        <f>-'[3]12 June'!$H$17</f>
        <v>124994067.80000001</v>
      </c>
      <c r="C17" s="262"/>
      <c r="D17" s="68"/>
      <c r="E17" s="68">
        <f>SUM(B17:D17)</f>
        <v>124994067.80000001</v>
      </c>
      <c r="G17" s="261">
        <f t="shared" si="3"/>
        <v>0.01</v>
      </c>
      <c r="H17" s="258">
        <f t="shared" si="4"/>
        <v>0.1119</v>
      </c>
      <c r="I17" s="259">
        <f t="shared" si="5"/>
        <v>0.12189999999999999</v>
      </c>
      <c r="J17" s="260">
        <f t="shared" si="2"/>
        <v>41744.594150191784</v>
      </c>
      <c r="K17" s="1">
        <f t="shared" si="6"/>
        <v>34.799999997019768</v>
      </c>
    </row>
    <row r="18" spans="1:13" x14ac:dyDescent="0.3">
      <c r="A18" s="236">
        <f t="shared" si="0"/>
        <v>46186</v>
      </c>
      <c r="B18" s="516">
        <f t="shared" ref="B18:B33" si="7">B17</f>
        <v>124994067.80000001</v>
      </c>
      <c r="C18" s="262"/>
      <c r="D18" s="68"/>
      <c r="E18" s="68">
        <f t="shared" si="1"/>
        <v>124994067.80000001</v>
      </c>
      <c r="G18" s="261">
        <f t="shared" si="3"/>
        <v>0.01</v>
      </c>
      <c r="H18" s="258">
        <f t="shared" si="4"/>
        <v>0.1119</v>
      </c>
      <c r="I18" s="259">
        <f t="shared" si="5"/>
        <v>0.12189999999999999</v>
      </c>
      <c r="J18" s="260">
        <f t="shared" si="2"/>
        <v>41744.594150191784</v>
      </c>
      <c r="K18" s="1">
        <f t="shared" si="6"/>
        <v>0</v>
      </c>
    </row>
    <row r="19" spans="1:13" x14ac:dyDescent="0.3">
      <c r="A19" s="386">
        <f t="shared" si="0"/>
        <v>46187</v>
      </c>
      <c r="B19" s="516">
        <f t="shared" si="7"/>
        <v>124994067.80000001</v>
      </c>
      <c r="C19" s="262"/>
      <c r="D19" s="68"/>
      <c r="E19" s="68">
        <f t="shared" si="1"/>
        <v>124994067.80000001</v>
      </c>
      <c r="G19" s="261">
        <f t="shared" si="3"/>
        <v>0.01</v>
      </c>
      <c r="H19" s="258">
        <f t="shared" si="4"/>
        <v>0.1119</v>
      </c>
      <c r="I19" s="259">
        <f t="shared" si="5"/>
        <v>0.12189999999999999</v>
      </c>
      <c r="J19" s="260">
        <f t="shared" si="2"/>
        <v>41744.594150191784</v>
      </c>
      <c r="K19" s="1">
        <f t="shared" si="6"/>
        <v>0</v>
      </c>
      <c r="L19" s="133"/>
    </row>
    <row r="20" spans="1:13" x14ac:dyDescent="0.3">
      <c r="A20" s="236">
        <f t="shared" si="0"/>
        <v>46188</v>
      </c>
      <c r="B20" s="516">
        <f t="shared" si="7"/>
        <v>124994067.80000001</v>
      </c>
      <c r="C20" s="262"/>
      <c r="D20" s="68"/>
      <c r="E20" s="68">
        <f t="shared" si="1"/>
        <v>124994067.80000001</v>
      </c>
      <c r="G20" s="261">
        <f t="shared" si="3"/>
        <v>0.01</v>
      </c>
      <c r="H20" s="258">
        <f t="shared" si="4"/>
        <v>0.1119</v>
      </c>
      <c r="I20" s="259">
        <f t="shared" si="5"/>
        <v>0.12189999999999999</v>
      </c>
      <c r="J20" s="260">
        <f t="shared" si="2"/>
        <v>41744.594150191784</v>
      </c>
      <c r="K20" s="1">
        <f t="shared" si="6"/>
        <v>0</v>
      </c>
      <c r="L20" s="69"/>
    </row>
    <row r="21" spans="1:13" x14ac:dyDescent="0.3">
      <c r="A21" s="236">
        <f t="shared" si="0"/>
        <v>46189</v>
      </c>
      <c r="B21" s="516">
        <f t="shared" si="7"/>
        <v>124994067.80000001</v>
      </c>
      <c r="C21" s="262"/>
      <c r="D21" s="68"/>
      <c r="E21" s="68">
        <f t="shared" si="1"/>
        <v>124994067.80000001</v>
      </c>
      <c r="G21" s="261">
        <f t="shared" si="3"/>
        <v>0.01</v>
      </c>
      <c r="H21" s="258">
        <f t="shared" si="4"/>
        <v>0.1119</v>
      </c>
      <c r="I21" s="259">
        <f t="shared" si="5"/>
        <v>0.12189999999999999</v>
      </c>
      <c r="J21" s="260">
        <f t="shared" si="2"/>
        <v>41744.594150191784</v>
      </c>
      <c r="K21" s="1">
        <f t="shared" si="6"/>
        <v>0</v>
      </c>
      <c r="L21" s="69"/>
    </row>
    <row r="22" spans="1:13" x14ac:dyDescent="0.3">
      <c r="A22" s="236">
        <f t="shared" si="0"/>
        <v>46190</v>
      </c>
      <c r="B22" s="516">
        <f t="shared" si="7"/>
        <v>124994067.80000001</v>
      </c>
      <c r="C22" s="68"/>
      <c r="D22" s="68"/>
      <c r="E22" s="68">
        <f>SUM(B22:D22)</f>
        <v>124994067.80000001</v>
      </c>
      <c r="G22" s="261">
        <f t="shared" si="3"/>
        <v>0.01</v>
      </c>
      <c r="H22" s="258">
        <f t="shared" si="4"/>
        <v>0.1119</v>
      </c>
      <c r="I22" s="259">
        <f t="shared" si="5"/>
        <v>0.12189999999999999</v>
      </c>
      <c r="J22" s="260">
        <f t="shared" si="2"/>
        <v>41744.594150191784</v>
      </c>
      <c r="K22" s="1">
        <f t="shared" si="6"/>
        <v>0</v>
      </c>
      <c r="L22" s="69"/>
    </row>
    <row r="23" spans="1:13" x14ac:dyDescent="0.3">
      <c r="A23" s="236">
        <f t="shared" si="0"/>
        <v>46191</v>
      </c>
      <c r="B23" s="516">
        <f t="shared" si="7"/>
        <v>124994067.80000001</v>
      </c>
      <c r="C23" s="98"/>
      <c r="D23" s="68"/>
      <c r="E23" s="68">
        <f t="shared" si="1"/>
        <v>124994067.80000001</v>
      </c>
      <c r="G23" s="261">
        <f t="shared" si="3"/>
        <v>0.01</v>
      </c>
      <c r="H23" s="258">
        <f t="shared" si="4"/>
        <v>0.1119</v>
      </c>
      <c r="I23" s="259">
        <f t="shared" si="5"/>
        <v>0.12189999999999999</v>
      </c>
      <c r="J23" s="260">
        <f t="shared" si="2"/>
        <v>41744.594150191784</v>
      </c>
      <c r="K23" s="1">
        <f t="shared" si="6"/>
        <v>0</v>
      </c>
      <c r="L23" s="69"/>
    </row>
    <row r="24" spans="1:13" x14ac:dyDescent="0.3">
      <c r="A24" s="236">
        <f t="shared" si="0"/>
        <v>46192</v>
      </c>
      <c r="B24" s="516">
        <f t="shared" si="7"/>
        <v>124994067.80000001</v>
      </c>
      <c r="C24" s="68"/>
      <c r="D24" s="68"/>
      <c r="E24" s="68">
        <f t="shared" si="1"/>
        <v>124994067.80000001</v>
      </c>
      <c r="G24" s="261">
        <f t="shared" si="3"/>
        <v>0.01</v>
      </c>
      <c r="H24" s="258">
        <f t="shared" si="4"/>
        <v>0.1119</v>
      </c>
      <c r="I24" s="259">
        <f t="shared" si="5"/>
        <v>0.12189999999999999</v>
      </c>
      <c r="J24" s="260">
        <f t="shared" si="2"/>
        <v>41744.594150191784</v>
      </c>
      <c r="K24" s="1">
        <f t="shared" si="6"/>
        <v>0</v>
      </c>
    </row>
    <row r="25" spans="1:13" x14ac:dyDescent="0.3">
      <c r="A25" s="236">
        <f t="shared" si="0"/>
        <v>46193</v>
      </c>
      <c r="B25" s="516">
        <f>-'[3]20 June'!$H$17</f>
        <v>57504681.799999997</v>
      </c>
      <c r="C25" s="68"/>
      <c r="D25" s="68"/>
      <c r="E25" s="68">
        <f t="shared" si="1"/>
        <v>57504681.799999997</v>
      </c>
      <c r="G25" s="261">
        <f t="shared" si="3"/>
        <v>0.01</v>
      </c>
      <c r="H25" s="258">
        <f t="shared" si="4"/>
        <v>0.1119</v>
      </c>
      <c r="I25" s="259">
        <f t="shared" si="5"/>
        <v>0.12189999999999999</v>
      </c>
      <c r="J25" s="260">
        <f t="shared" si="2"/>
        <v>19204.988250465751</v>
      </c>
      <c r="K25" s="1">
        <f t="shared" si="6"/>
        <v>-67489386.000000015</v>
      </c>
    </row>
    <row r="26" spans="1:13" x14ac:dyDescent="0.3">
      <c r="A26" s="236">
        <f t="shared" si="0"/>
        <v>46194</v>
      </c>
      <c r="B26" s="516">
        <f>-'[3]20 June'!$H$17</f>
        <v>57504681.799999997</v>
      </c>
      <c r="C26" s="68"/>
      <c r="D26" s="68"/>
      <c r="E26" s="68">
        <f t="shared" si="1"/>
        <v>57504681.799999997</v>
      </c>
      <c r="G26" s="261">
        <f t="shared" si="3"/>
        <v>0.01</v>
      </c>
      <c r="H26" s="258">
        <f t="shared" si="4"/>
        <v>0.1119</v>
      </c>
      <c r="I26" s="259">
        <f t="shared" si="5"/>
        <v>0.12189999999999999</v>
      </c>
      <c r="J26" s="260">
        <f t="shared" si="2"/>
        <v>19204.988250465751</v>
      </c>
      <c r="K26" s="1">
        <f t="shared" si="6"/>
        <v>0</v>
      </c>
    </row>
    <row r="27" spans="1:13" x14ac:dyDescent="0.3">
      <c r="A27" s="236">
        <f t="shared" si="0"/>
        <v>46195</v>
      </c>
      <c r="B27" s="516">
        <f>-'[3]22 June'!$H$17</f>
        <v>57000567.599999994</v>
      </c>
      <c r="C27" s="68"/>
      <c r="D27" s="68"/>
      <c r="E27" s="68">
        <f t="shared" si="1"/>
        <v>57000567.599999994</v>
      </c>
      <c r="G27" s="261">
        <f t="shared" si="3"/>
        <v>0.01</v>
      </c>
      <c r="H27" s="258">
        <f t="shared" si="4"/>
        <v>0.1119</v>
      </c>
      <c r="I27" s="259">
        <f t="shared" si="5"/>
        <v>0.12189999999999999</v>
      </c>
      <c r="J27" s="260">
        <f t="shared" si="2"/>
        <v>19036.627919013696</v>
      </c>
      <c r="K27" s="1">
        <f t="shared" si="6"/>
        <v>-504114.20000000298</v>
      </c>
      <c r="L27" s="69"/>
    </row>
    <row r="28" spans="1:13" x14ac:dyDescent="0.3">
      <c r="A28" s="236">
        <f t="shared" si="0"/>
        <v>46196</v>
      </c>
      <c r="B28" s="516">
        <f>-'[3]23 June'!$H$17</f>
        <v>-499397.60000000894</v>
      </c>
      <c r="C28" s="68"/>
      <c r="D28" s="68"/>
      <c r="E28" s="68">
        <f t="shared" si="1"/>
        <v>-499397.60000000894</v>
      </c>
      <c r="G28" s="261">
        <f t="shared" si="3"/>
        <v>0.01</v>
      </c>
      <c r="H28" s="258">
        <f t="shared" si="4"/>
        <v>0.1119</v>
      </c>
      <c r="I28" s="259">
        <f t="shared" si="5"/>
        <v>0.12189999999999999</v>
      </c>
      <c r="J28" s="260">
        <f t="shared" si="2"/>
        <v>0</v>
      </c>
      <c r="K28" s="1">
        <f t="shared" si="6"/>
        <v>-57499965.200000003</v>
      </c>
    </row>
    <row r="29" spans="1:13" x14ac:dyDescent="0.3">
      <c r="A29" s="236">
        <f t="shared" si="0"/>
        <v>46197</v>
      </c>
      <c r="B29" s="516">
        <f t="shared" si="7"/>
        <v>-499397.60000000894</v>
      </c>
      <c r="C29" s="68"/>
      <c r="D29" s="68"/>
      <c r="E29" s="68">
        <f t="shared" si="1"/>
        <v>-499397.60000000894</v>
      </c>
      <c r="G29" s="261">
        <f t="shared" si="3"/>
        <v>0.01</v>
      </c>
      <c r="H29" s="258">
        <f t="shared" si="4"/>
        <v>0.1119</v>
      </c>
      <c r="I29" s="259">
        <f t="shared" si="5"/>
        <v>0.12189999999999999</v>
      </c>
      <c r="J29" s="260">
        <f t="shared" si="2"/>
        <v>0</v>
      </c>
      <c r="K29" s="1">
        <f t="shared" si="6"/>
        <v>0</v>
      </c>
    </row>
    <row r="30" spans="1:13" x14ac:dyDescent="0.3">
      <c r="A30" s="236">
        <f t="shared" si="0"/>
        <v>46198</v>
      </c>
      <c r="B30" s="516">
        <f t="shared" si="7"/>
        <v>-499397.60000000894</v>
      </c>
      <c r="C30" s="68"/>
      <c r="D30" s="68"/>
      <c r="E30" s="68">
        <f t="shared" si="1"/>
        <v>-499397.60000000894</v>
      </c>
      <c r="G30" s="261">
        <f t="shared" si="3"/>
        <v>0.01</v>
      </c>
      <c r="H30" s="258">
        <f t="shared" si="4"/>
        <v>0.1119</v>
      </c>
      <c r="I30" s="259">
        <f t="shared" si="5"/>
        <v>0.12189999999999999</v>
      </c>
      <c r="J30" s="260">
        <f t="shared" si="2"/>
        <v>0</v>
      </c>
      <c r="K30" s="1">
        <f t="shared" si="6"/>
        <v>0</v>
      </c>
      <c r="L30" s="69"/>
    </row>
    <row r="31" spans="1:13" x14ac:dyDescent="0.3">
      <c r="A31" s="236">
        <f t="shared" si="0"/>
        <v>46199</v>
      </c>
      <c r="B31" s="516">
        <f t="shared" si="7"/>
        <v>-499397.60000000894</v>
      </c>
      <c r="C31" s="68"/>
      <c r="D31" s="68"/>
      <c r="E31" s="68">
        <f t="shared" si="1"/>
        <v>-499397.60000000894</v>
      </c>
      <c r="G31" s="261">
        <f t="shared" si="3"/>
        <v>0.01</v>
      </c>
      <c r="H31" s="258">
        <f t="shared" si="4"/>
        <v>0.1119</v>
      </c>
      <c r="I31" s="259">
        <f t="shared" si="5"/>
        <v>0.12189999999999999</v>
      </c>
      <c r="J31" s="260">
        <f t="shared" si="2"/>
        <v>0</v>
      </c>
      <c r="K31" s="1">
        <f t="shared" si="6"/>
        <v>0</v>
      </c>
    </row>
    <row r="32" spans="1:13" x14ac:dyDescent="0.3">
      <c r="A32" s="236">
        <f t="shared" si="0"/>
        <v>46200</v>
      </c>
      <c r="B32" s="516">
        <f t="shared" si="7"/>
        <v>-499397.60000000894</v>
      </c>
      <c r="C32" s="68"/>
      <c r="D32" s="68"/>
      <c r="E32" s="68">
        <f t="shared" si="1"/>
        <v>-499397.60000000894</v>
      </c>
      <c r="G32" s="261">
        <f t="shared" si="3"/>
        <v>0.01</v>
      </c>
      <c r="H32" s="258">
        <f t="shared" si="4"/>
        <v>0.1119</v>
      </c>
      <c r="I32" s="259">
        <f t="shared" si="5"/>
        <v>0.12189999999999999</v>
      </c>
      <c r="J32" s="260">
        <f t="shared" si="2"/>
        <v>0</v>
      </c>
      <c r="K32" s="1">
        <f t="shared" si="6"/>
        <v>0</v>
      </c>
      <c r="M32" s="312"/>
    </row>
    <row r="33" spans="1:13" x14ac:dyDescent="0.3">
      <c r="A33" s="236">
        <f t="shared" si="0"/>
        <v>46201</v>
      </c>
      <c r="B33" s="516">
        <f t="shared" si="7"/>
        <v>-499397.60000000894</v>
      </c>
      <c r="C33" s="68"/>
      <c r="D33" s="68"/>
      <c r="E33" s="68">
        <f>SUM(B33:D33)</f>
        <v>-499397.60000000894</v>
      </c>
      <c r="G33" s="261">
        <f t="shared" si="3"/>
        <v>0.01</v>
      </c>
      <c r="H33" s="258">
        <f t="shared" si="4"/>
        <v>0.1119</v>
      </c>
      <c r="I33" s="259">
        <f>+H33+G33</f>
        <v>0.12189999999999999</v>
      </c>
      <c r="J33" s="260">
        <f>IF(E33&lt;0,0,E33*I33/365)</f>
        <v>0</v>
      </c>
      <c r="K33" s="1">
        <f>+E33-E32</f>
        <v>0</v>
      </c>
      <c r="M33" s="312"/>
    </row>
    <row r="34" spans="1:13" x14ac:dyDescent="0.3">
      <c r="A34" s="236">
        <f t="shared" si="0"/>
        <v>46202</v>
      </c>
      <c r="B34" s="516"/>
      <c r="C34" s="68"/>
      <c r="D34" s="68"/>
      <c r="E34" s="68">
        <f>SUM(B34:D34)</f>
        <v>0</v>
      </c>
      <c r="G34" s="261">
        <f t="shared" si="3"/>
        <v>0.01</v>
      </c>
      <c r="H34" s="258">
        <f t="shared" si="4"/>
        <v>0.1119</v>
      </c>
      <c r="I34" s="259">
        <f>+H34+G34</f>
        <v>0.12189999999999999</v>
      </c>
      <c r="J34" s="260">
        <f>IF(E34&lt;0,0,E34*I34/365)</f>
        <v>0</v>
      </c>
      <c r="K34" s="1">
        <f>+E34-E33</f>
        <v>499397.60000000894</v>
      </c>
      <c r="M34" s="312"/>
    </row>
    <row r="35" spans="1:13" x14ac:dyDescent="0.3">
      <c r="A35" s="236">
        <f t="shared" si="0"/>
        <v>46203</v>
      </c>
      <c r="B35" s="516"/>
      <c r="C35" s="68"/>
      <c r="D35" s="68"/>
      <c r="E35" s="68">
        <f>SUM(B35:D35)</f>
        <v>0</v>
      </c>
      <c r="G35" s="261">
        <f t="shared" si="3"/>
        <v>0.01</v>
      </c>
      <c r="H35" s="258">
        <f t="shared" si="4"/>
        <v>0.1119</v>
      </c>
      <c r="I35" s="259">
        <f>+H35+G35</f>
        <v>0.12189999999999999</v>
      </c>
      <c r="J35" s="260">
        <f>IF(E35&lt;0,0,E35*I35/365)</f>
        <v>0</v>
      </c>
      <c r="K35" s="1">
        <f>+E35-E34</f>
        <v>0</v>
      </c>
      <c r="M35" s="312"/>
    </row>
    <row r="36" spans="1:13" x14ac:dyDescent="0.3">
      <c r="G36" s="263" t="s">
        <v>18</v>
      </c>
      <c r="H36" s="264"/>
      <c r="I36" s="16"/>
      <c r="J36" s="265">
        <f>SUM(J6:J35)</f>
        <v>811689.67584100249</v>
      </c>
    </row>
    <row r="37" spans="1:13" x14ac:dyDescent="0.3">
      <c r="A37" s="739"/>
      <c r="B37" s="739"/>
      <c r="C37" s="739"/>
      <c r="D37" s="739"/>
      <c r="E37" s="739"/>
      <c r="F37" s="739"/>
      <c r="G37" s="739"/>
      <c r="H37" s="739"/>
      <c r="I37" s="739"/>
      <c r="J37" s="739"/>
    </row>
    <row r="38" spans="1:13" x14ac:dyDescent="0.3">
      <c r="G38" s="747" t="s">
        <v>24</v>
      </c>
      <c r="H38" s="747"/>
      <c r="I38" s="747"/>
    </row>
    <row r="39" spans="1:13" x14ac:dyDescent="0.3">
      <c r="G39" s="745"/>
      <c r="H39" s="745"/>
      <c r="I39" s="746"/>
      <c r="J39" s="266" t="s">
        <v>0</v>
      </c>
    </row>
    <row r="40" spans="1:13" x14ac:dyDescent="0.3">
      <c r="G40" s="743" t="s">
        <v>19</v>
      </c>
      <c r="H40" s="743"/>
      <c r="I40" s="744"/>
      <c r="J40" s="269">
        <f>'[2]MCB-RF '!$J$47</f>
        <v>2665657.6139839608</v>
      </c>
      <c r="K40" s="131"/>
      <c r="L40" s="1"/>
    </row>
    <row r="41" spans="1:13" x14ac:dyDescent="0.3">
      <c r="G41" s="759" t="s">
        <v>42</v>
      </c>
      <c r="H41" s="759"/>
      <c r="I41" s="760"/>
      <c r="J41" s="546">
        <v>0</v>
      </c>
      <c r="K41" s="131"/>
      <c r="L41" s="1"/>
    </row>
    <row r="42" spans="1:13" ht="14.4" thickBot="1" x14ac:dyDescent="0.35">
      <c r="D42" s="2"/>
      <c r="G42" s="758" t="str">
        <f>IF(J42&lt;0,"Excess Provision to be Reversed","Additional Provision Required")</f>
        <v>Additional Provision Required</v>
      </c>
      <c r="H42" s="758"/>
      <c r="I42" s="758"/>
      <c r="J42" s="409">
        <f>IF(J41=0,0,J41-J40)</f>
        <v>0</v>
      </c>
      <c r="L42" s="1"/>
    </row>
    <row r="43" spans="1:13" x14ac:dyDescent="0.3">
      <c r="G43" s="745"/>
      <c r="H43" s="745"/>
      <c r="I43" s="745"/>
      <c r="J43" s="745"/>
      <c r="K43" s="1">
        <v>0</v>
      </c>
    </row>
    <row r="44" spans="1:13" ht="16.2" customHeight="1" thickBot="1" x14ac:dyDescent="0.35">
      <c r="G44" s="755" t="s">
        <v>151</v>
      </c>
      <c r="H44" s="755"/>
      <c r="I44" s="755"/>
      <c r="J44" s="268">
        <f>J36+J42</f>
        <v>811689.67584100249</v>
      </c>
    </row>
    <row r="45" spans="1:13" x14ac:dyDescent="0.3">
      <c r="G45" s="756"/>
      <c r="H45" s="756"/>
      <c r="I45" s="756"/>
      <c r="J45" s="756"/>
    </row>
    <row r="46" spans="1:13" x14ac:dyDescent="0.3">
      <c r="G46" s="757" t="s">
        <v>33</v>
      </c>
      <c r="H46" s="757"/>
      <c r="I46" s="757"/>
      <c r="J46" s="269">
        <f>J40+J44-J41</f>
        <v>3477347.2898249635</v>
      </c>
    </row>
    <row r="47" spans="1:13" ht="14.4" x14ac:dyDescent="0.3">
      <c r="J47" s="326"/>
    </row>
    <row r="48" spans="1:13" x14ac:dyDescent="0.3">
      <c r="J48" s="1"/>
      <c r="L48" s="312"/>
    </row>
    <row r="49" spans="10:10" x14ac:dyDescent="0.3">
      <c r="J49" s="69"/>
    </row>
  </sheetData>
  <mergeCells count="15">
    <mergeCell ref="G44:I44"/>
    <mergeCell ref="G45:J45"/>
    <mergeCell ref="G46:I46"/>
    <mergeCell ref="G42:I42"/>
    <mergeCell ref="G43:J43"/>
    <mergeCell ref="G41:I41"/>
    <mergeCell ref="G40:I40"/>
    <mergeCell ref="G39:I39"/>
    <mergeCell ref="G38:I38"/>
    <mergeCell ref="A1:J1"/>
    <mergeCell ref="A2:I2"/>
    <mergeCell ref="A3:J3"/>
    <mergeCell ref="A4:A5"/>
    <mergeCell ref="H4:H5"/>
    <mergeCell ref="A37:J37"/>
  </mergeCells>
  <printOptions horizontalCentered="1" verticalCentered="1"/>
  <pageMargins left="0.75" right="0.75" top="0.5" bottom="0.5" header="0.5" footer="0.5"/>
  <pageSetup scale="79" orientation="landscape" r:id="rId1"/>
  <headerFooter alignWithMargins="0"/>
  <ignoredErrors>
    <ignoredError sqref="E6:E32" formulaRange="1"/>
  </ignoredError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10B39-5642-4C64-914F-E577654BC8DD}">
  <sheetPr codeName="Sheet10">
    <pageSetUpPr fitToPage="1"/>
  </sheetPr>
  <dimension ref="A1:L85"/>
  <sheetViews>
    <sheetView showGridLines="0" zoomScaleNormal="100" workbookViewId="0">
      <selection activeCell="B74" sqref="B74"/>
    </sheetView>
  </sheetViews>
  <sheetFormatPr defaultColWidth="10.6328125" defaultRowHeight="13.8" x14ac:dyDescent="0.3"/>
  <cols>
    <col min="1" max="1" width="15.1796875" style="2" customWidth="1"/>
    <col min="2" max="2" width="12.81640625" style="232" customWidth="1"/>
    <col min="3" max="3" width="11.90625" style="2" bestFit="1" customWidth="1"/>
    <col min="4" max="4" width="11" style="2" bestFit="1" customWidth="1"/>
    <col min="5" max="5" width="10.1796875" style="2" bestFit="1" customWidth="1"/>
    <col min="6" max="6" width="11" style="2" bestFit="1" customWidth="1"/>
    <col min="7" max="7" width="8.81640625" style="2" customWidth="1"/>
    <col min="8" max="9" width="10.6328125" style="2"/>
    <col min="10" max="10" width="11.81640625" style="2" bestFit="1" customWidth="1"/>
    <col min="11" max="11" width="10.6328125" style="2"/>
    <col min="12" max="12" width="11" style="2" bestFit="1" customWidth="1"/>
    <col min="13" max="16384" width="10.6328125" style="2"/>
  </cols>
  <sheetData>
    <row r="1" spans="1:7" ht="18" x14ac:dyDescent="0.35">
      <c r="A1" s="748" t="s">
        <v>186</v>
      </c>
      <c r="B1" s="748"/>
      <c r="C1" s="748"/>
    </row>
    <row r="2" spans="1:7" ht="18.600000000000001" thickBot="1" x14ac:dyDescent="0.4">
      <c r="A2" s="91" t="s">
        <v>213</v>
      </c>
      <c r="B2" s="231"/>
      <c r="C2" s="55">
        <f>'FINANCIAL COST SUMMARY '!I2</f>
        <v>46174</v>
      </c>
    </row>
    <row r="3" spans="1:7" x14ac:dyDescent="0.3">
      <c r="A3" s="741"/>
      <c r="B3" s="741"/>
      <c r="C3" s="741"/>
    </row>
    <row r="4" spans="1:7" s="232" customFormat="1" x14ac:dyDescent="0.3">
      <c r="A4" s="761" t="s">
        <v>23</v>
      </c>
      <c r="B4" s="761"/>
      <c r="C4" s="761"/>
    </row>
    <row r="5" spans="1:7" s="234" customFormat="1" ht="41.4" x14ac:dyDescent="0.3">
      <c r="A5" s="94" t="s">
        <v>4</v>
      </c>
      <c r="B5" s="318" t="s">
        <v>265</v>
      </c>
      <c r="C5" s="233" t="s">
        <v>0</v>
      </c>
      <c r="E5" s="235"/>
      <c r="G5" s="235"/>
    </row>
    <row r="6" spans="1:7" x14ac:dyDescent="0.3">
      <c r="A6" s="236">
        <v>46174</v>
      </c>
      <c r="B6" s="544">
        <f t="shared" ref="B6:B35" si="0">75757498.57-40000000</f>
        <v>35757498.569999993</v>
      </c>
      <c r="C6" s="68">
        <f t="shared" ref="C6:C34" si="1">SUM(B6:B6)</f>
        <v>35757498.569999993</v>
      </c>
      <c r="E6" s="314">
        <v>46080</v>
      </c>
      <c r="F6" s="315">
        <v>180</v>
      </c>
      <c r="G6" s="314">
        <f>E6+F6</f>
        <v>46260</v>
      </c>
    </row>
    <row r="7" spans="1:7" x14ac:dyDescent="0.3">
      <c r="A7" s="236">
        <f>+A6+1</f>
        <v>46175</v>
      </c>
      <c r="B7" s="544">
        <f t="shared" si="0"/>
        <v>35757498.569999993</v>
      </c>
      <c r="C7" s="68">
        <f t="shared" si="1"/>
        <v>35757498.569999993</v>
      </c>
    </row>
    <row r="8" spans="1:7" x14ac:dyDescent="0.3">
      <c r="A8" s="236">
        <f t="shared" ref="A8:A35" si="2">+A7+1</f>
        <v>46176</v>
      </c>
      <c r="B8" s="544">
        <f t="shared" si="0"/>
        <v>35757498.569999993</v>
      </c>
      <c r="C8" s="68">
        <f t="shared" si="1"/>
        <v>35757498.569999993</v>
      </c>
    </row>
    <row r="9" spans="1:7" x14ac:dyDescent="0.3">
      <c r="A9" s="236">
        <f t="shared" si="2"/>
        <v>46177</v>
      </c>
      <c r="B9" s="544">
        <f t="shared" si="0"/>
        <v>35757498.569999993</v>
      </c>
      <c r="C9" s="68">
        <f t="shared" si="1"/>
        <v>35757498.569999993</v>
      </c>
      <c r="E9" s="104"/>
      <c r="G9" s="104"/>
    </row>
    <row r="10" spans="1:7" x14ac:dyDescent="0.3">
      <c r="A10" s="236">
        <f t="shared" si="2"/>
        <v>46178</v>
      </c>
      <c r="B10" s="544">
        <f t="shared" si="0"/>
        <v>35757498.569999993</v>
      </c>
      <c r="C10" s="68">
        <f t="shared" si="1"/>
        <v>35757498.569999993</v>
      </c>
    </row>
    <row r="11" spans="1:7" x14ac:dyDescent="0.3">
      <c r="A11" s="236">
        <f t="shared" si="2"/>
        <v>46179</v>
      </c>
      <c r="B11" s="544">
        <f t="shared" si="0"/>
        <v>35757498.569999993</v>
      </c>
      <c r="C11" s="68">
        <f t="shared" si="1"/>
        <v>35757498.569999993</v>
      </c>
    </row>
    <row r="12" spans="1:7" x14ac:dyDescent="0.3">
      <c r="A12" s="236">
        <f t="shared" si="2"/>
        <v>46180</v>
      </c>
      <c r="B12" s="544">
        <f t="shared" si="0"/>
        <v>35757498.569999993</v>
      </c>
      <c r="C12" s="68">
        <f t="shared" si="1"/>
        <v>35757498.569999993</v>
      </c>
    </row>
    <row r="13" spans="1:7" x14ac:dyDescent="0.3">
      <c r="A13" s="236">
        <f t="shared" si="2"/>
        <v>46181</v>
      </c>
      <c r="B13" s="544">
        <f t="shared" si="0"/>
        <v>35757498.569999993</v>
      </c>
      <c r="C13" s="68">
        <f t="shared" si="1"/>
        <v>35757498.569999993</v>
      </c>
      <c r="D13" s="312"/>
    </row>
    <row r="14" spans="1:7" x14ac:dyDescent="0.3">
      <c r="A14" s="236">
        <f t="shared" si="2"/>
        <v>46182</v>
      </c>
      <c r="B14" s="544">
        <f t="shared" si="0"/>
        <v>35757498.569999993</v>
      </c>
      <c r="C14" s="68">
        <f t="shared" si="1"/>
        <v>35757498.569999993</v>
      </c>
    </row>
    <row r="15" spans="1:7" x14ac:dyDescent="0.3">
      <c r="A15" s="236">
        <f t="shared" si="2"/>
        <v>46183</v>
      </c>
      <c r="B15" s="544">
        <f t="shared" si="0"/>
        <v>35757498.569999993</v>
      </c>
      <c r="C15" s="68">
        <f t="shared" si="1"/>
        <v>35757498.569999993</v>
      </c>
    </row>
    <row r="16" spans="1:7" x14ac:dyDescent="0.3">
      <c r="A16" s="236">
        <f t="shared" si="2"/>
        <v>46184</v>
      </c>
      <c r="B16" s="544">
        <f t="shared" si="0"/>
        <v>35757498.569999993</v>
      </c>
      <c r="C16" s="68">
        <f t="shared" si="1"/>
        <v>35757498.569999993</v>
      </c>
    </row>
    <row r="17" spans="1:12" x14ac:dyDescent="0.3">
      <c r="A17" s="236">
        <f t="shared" si="2"/>
        <v>46185</v>
      </c>
      <c r="B17" s="544">
        <f t="shared" si="0"/>
        <v>35757498.569999993</v>
      </c>
      <c r="C17" s="68">
        <f t="shared" si="1"/>
        <v>35757498.569999993</v>
      </c>
    </row>
    <row r="18" spans="1:12" x14ac:dyDescent="0.3">
      <c r="A18" s="236">
        <f t="shared" si="2"/>
        <v>46186</v>
      </c>
      <c r="B18" s="544">
        <f t="shared" si="0"/>
        <v>35757498.569999993</v>
      </c>
      <c r="C18" s="68">
        <f t="shared" si="1"/>
        <v>35757498.569999993</v>
      </c>
      <c r="L18" s="1"/>
    </row>
    <row r="19" spans="1:12" x14ac:dyDescent="0.3">
      <c r="A19" s="236">
        <f t="shared" si="2"/>
        <v>46187</v>
      </c>
      <c r="B19" s="544">
        <f t="shared" si="0"/>
        <v>35757498.569999993</v>
      </c>
      <c r="C19" s="68">
        <f t="shared" si="1"/>
        <v>35757498.569999993</v>
      </c>
      <c r="L19" s="1"/>
    </row>
    <row r="20" spans="1:12" x14ac:dyDescent="0.3">
      <c r="A20" s="236">
        <f t="shared" si="2"/>
        <v>46188</v>
      </c>
      <c r="B20" s="544">
        <f t="shared" si="0"/>
        <v>35757498.569999993</v>
      </c>
      <c r="C20" s="68">
        <f t="shared" si="1"/>
        <v>35757498.569999993</v>
      </c>
      <c r="L20" s="1"/>
    </row>
    <row r="21" spans="1:12" x14ac:dyDescent="0.3">
      <c r="A21" s="236">
        <f t="shared" si="2"/>
        <v>46189</v>
      </c>
      <c r="B21" s="544">
        <f t="shared" si="0"/>
        <v>35757498.569999993</v>
      </c>
      <c r="C21" s="68">
        <f t="shared" si="1"/>
        <v>35757498.569999993</v>
      </c>
      <c r="E21" s="69"/>
      <c r="L21" s="1"/>
    </row>
    <row r="22" spans="1:12" x14ac:dyDescent="0.3">
      <c r="A22" s="236">
        <f t="shared" si="2"/>
        <v>46190</v>
      </c>
      <c r="B22" s="544">
        <f t="shared" si="0"/>
        <v>35757498.569999993</v>
      </c>
      <c r="C22" s="68">
        <f t="shared" si="1"/>
        <v>35757498.569999993</v>
      </c>
    </row>
    <row r="23" spans="1:12" x14ac:dyDescent="0.3">
      <c r="A23" s="236">
        <f t="shared" si="2"/>
        <v>46191</v>
      </c>
      <c r="B23" s="544">
        <f t="shared" si="0"/>
        <v>35757498.569999993</v>
      </c>
      <c r="C23" s="68">
        <f t="shared" si="1"/>
        <v>35757498.569999993</v>
      </c>
    </row>
    <row r="24" spans="1:12" x14ac:dyDescent="0.3">
      <c r="A24" s="236">
        <f t="shared" si="2"/>
        <v>46192</v>
      </c>
      <c r="B24" s="544">
        <f t="shared" si="0"/>
        <v>35757498.569999993</v>
      </c>
      <c r="C24" s="68">
        <f t="shared" si="1"/>
        <v>35757498.569999993</v>
      </c>
    </row>
    <row r="25" spans="1:12" x14ac:dyDescent="0.3">
      <c r="A25" s="236">
        <f t="shared" si="2"/>
        <v>46193</v>
      </c>
      <c r="B25" s="544">
        <f t="shared" si="0"/>
        <v>35757498.569999993</v>
      </c>
      <c r="C25" s="68">
        <f t="shared" si="1"/>
        <v>35757498.569999993</v>
      </c>
    </row>
    <row r="26" spans="1:12" x14ac:dyDescent="0.3">
      <c r="A26" s="236">
        <f t="shared" si="2"/>
        <v>46194</v>
      </c>
      <c r="B26" s="544">
        <f t="shared" si="0"/>
        <v>35757498.569999993</v>
      </c>
      <c r="C26" s="68">
        <f t="shared" si="1"/>
        <v>35757498.569999993</v>
      </c>
    </row>
    <row r="27" spans="1:12" x14ac:dyDescent="0.3">
      <c r="A27" s="236">
        <f t="shared" si="2"/>
        <v>46195</v>
      </c>
      <c r="B27" s="544">
        <f t="shared" si="0"/>
        <v>35757498.569999993</v>
      </c>
      <c r="C27" s="68">
        <f t="shared" si="1"/>
        <v>35757498.569999993</v>
      </c>
    </row>
    <row r="28" spans="1:12" x14ac:dyDescent="0.3">
      <c r="A28" s="236">
        <f t="shared" si="2"/>
        <v>46196</v>
      </c>
      <c r="B28" s="544">
        <f t="shared" si="0"/>
        <v>35757498.569999993</v>
      </c>
      <c r="C28" s="68">
        <f t="shared" si="1"/>
        <v>35757498.569999993</v>
      </c>
    </row>
    <row r="29" spans="1:12" x14ac:dyDescent="0.3">
      <c r="A29" s="236">
        <f t="shared" si="2"/>
        <v>46197</v>
      </c>
      <c r="B29" s="544">
        <f t="shared" si="0"/>
        <v>35757498.569999993</v>
      </c>
      <c r="C29" s="68">
        <f t="shared" si="1"/>
        <v>35757498.569999993</v>
      </c>
      <c r="D29" s="232"/>
    </row>
    <row r="30" spans="1:12" x14ac:dyDescent="0.3">
      <c r="A30" s="236">
        <f t="shared" si="2"/>
        <v>46198</v>
      </c>
      <c r="B30" s="544">
        <f t="shared" si="0"/>
        <v>35757498.569999993</v>
      </c>
      <c r="C30" s="68">
        <f t="shared" si="1"/>
        <v>35757498.569999993</v>
      </c>
    </row>
    <row r="31" spans="1:12" x14ac:dyDescent="0.3">
      <c r="A31" s="236">
        <f t="shared" si="2"/>
        <v>46199</v>
      </c>
      <c r="B31" s="544">
        <f t="shared" si="0"/>
        <v>35757498.569999993</v>
      </c>
      <c r="C31" s="68">
        <f t="shared" si="1"/>
        <v>35757498.569999993</v>
      </c>
    </row>
    <row r="32" spans="1:12" x14ac:dyDescent="0.3">
      <c r="A32" s="236">
        <f t="shared" si="2"/>
        <v>46200</v>
      </c>
      <c r="B32" s="544">
        <f t="shared" si="0"/>
        <v>35757498.569999993</v>
      </c>
      <c r="C32" s="68">
        <f t="shared" si="1"/>
        <v>35757498.569999993</v>
      </c>
      <c r="E32" s="104"/>
      <c r="G32" s="104"/>
    </row>
    <row r="33" spans="1:12" x14ac:dyDescent="0.3">
      <c r="A33" s="236">
        <f t="shared" si="2"/>
        <v>46201</v>
      </c>
      <c r="B33" s="544">
        <f t="shared" si="0"/>
        <v>35757498.569999993</v>
      </c>
      <c r="C33" s="68">
        <f t="shared" si="1"/>
        <v>35757498.569999993</v>
      </c>
      <c r="E33" s="104"/>
      <c r="G33" s="104"/>
    </row>
    <row r="34" spans="1:12" x14ac:dyDescent="0.3">
      <c r="A34" s="236">
        <f t="shared" si="2"/>
        <v>46202</v>
      </c>
      <c r="B34" s="544">
        <f t="shared" si="0"/>
        <v>35757498.569999993</v>
      </c>
      <c r="C34" s="68">
        <f t="shared" si="1"/>
        <v>35757498.569999993</v>
      </c>
      <c r="E34" s="104"/>
      <c r="G34" s="104"/>
    </row>
    <row r="35" spans="1:12" x14ac:dyDescent="0.3">
      <c r="A35" s="236">
        <f t="shared" si="2"/>
        <v>46203</v>
      </c>
      <c r="B35" s="544">
        <f t="shared" si="0"/>
        <v>35757498.569999993</v>
      </c>
      <c r="C35" s="68">
        <f>SUM(B35:B35)</f>
        <v>35757498.569999993</v>
      </c>
      <c r="E35" s="104"/>
      <c r="G35" s="104"/>
    </row>
    <row r="36" spans="1:12" x14ac:dyDescent="0.3">
      <c r="A36" s="395"/>
      <c r="B36" s="396"/>
      <c r="C36" s="397"/>
    </row>
    <row r="37" spans="1:12" x14ac:dyDescent="0.3">
      <c r="A37" s="742" t="s">
        <v>45</v>
      </c>
      <c r="B37" s="742"/>
      <c r="C37" s="742"/>
      <c r="J37" s="312"/>
      <c r="L37" s="595"/>
    </row>
    <row r="38" spans="1:12" s="234" customFormat="1" ht="41.4" x14ac:dyDescent="0.3">
      <c r="A38" s="94" t="s">
        <v>4</v>
      </c>
      <c r="B38" s="237" t="s">
        <v>265</v>
      </c>
      <c r="C38" s="233" t="s">
        <v>0</v>
      </c>
    </row>
    <row r="39" spans="1:12" s="117" customFormat="1" ht="27.6" x14ac:dyDescent="0.25">
      <c r="A39" s="313" t="s">
        <v>217</v>
      </c>
      <c r="B39" s="323">
        <f>11.59%+0.75%</f>
        <v>0.12340000000000001</v>
      </c>
      <c r="C39" s="238"/>
    </row>
    <row r="40" spans="1:12" x14ac:dyDescent="0.3">
      <c r="A40" s="236">
        <f t="shared" ref="A40:A69" si="3">+A6</f>
        <v>46174</v>
      </c>
      <c r="B40" s="68">
        <f t="shared" ref="B40:B69" si="4">IF(B6&lt;0,0,B6*B$39/365)</f>
        <v>12088.973489145204</v>
      </c>
      <c r="C40" s="68">
        <f t="shared" ref="C40:C68" si="5">SUM(B40:B40)</f>
        <v>12088.973489145204</v>
      </c>
    </row>
    <row r="41" spans="1:12" x14ac:dyDescent="0.3">
      <c r="A41" s="236">
        <f t="shared" si="3"/>
        <v>46175</v>
      </c>
      <c r="B41" s="68">
        <f t="shared" si="4"/>
        <v>12088.973489145204</v>
      </c>
      <c r="C41" s="68">
        <f t="shared" si="5"/>
        <v>12088.973489145204</v>
      </c>
    </row>
    <row r="42" spans="1:12" x14ac:dyDescent="0.3">
      <c r="A42" s="236">
        <f t="shared" si="3"/>
        <v>46176</v>
      </c>
      <c r="B42" s="68">
        <f t="shared" si="4"/>
        <v>12088.973489145204</v>
      </c>
      <c r="C42" s="68">
        <f t="shared" si="5"/>
        <v>12088.973489145204</v>
      </c>
    </row>
    <row r="43" spans="1:12" x14ac:dyDescent="0.3">
      <c r="A43" s="236">
        <f t="shared" si="3"/>
        <v>46177</v>
      </c>
      <c r="B43" s="68">
        <f t="shared" si="4"/>
        <v>12088.973489145204</v>
      </c>
      <c r="C43" s="68">
        <f t="shared" si="5"/>
        <v>12088.973489145204</v>
      </c>
    </row>
    <row r="44" spans="1:12" x14ac:dyDescent="0.3">
      <c r="A44" s="236">
        <f t="shared" si="3"/>
        <v>46178</v>
      </c>
      <c r="B44" s="68">
        <f t="shared" si="4"/>
        <v>12088.973489145204</v>
      </c>
      <c r="C44" s="68">
        <f t="shared" si="5"/>
        <v>12088.973489145204</v>
      </c>
    </row>
    <row r="45" spans="1:12" x14ac:dyDescent="0.3">
      <c r="A45" s="236">
        <f t="shared" si="3"/>
        <v>46179</v>
      </c>
      <c r="B45" s="68">
        <f t="shared" si="4"/>
        <v>12088.973489145204</v>
      </c>
      <c r="C45" s="68">
        <f t="shared" si="5"/>
        <v>12088.973489145204</v>
      </c>
    </row>
    <row r="46" spans="1:12" x14ac:dyDescent="0.3">
      <c r="A46" s="236">
        <f t="shared" si="3"/>
        <v>46180</v>
      </c>
      <c r="B46" s="68">
        <f t="shared" si="4"/>
        <v>12088.973489145204</v>
      </c>
      <c r="C46" s="68">
        <f t="shared" si="5"/>
        <v>12088.973489145204</v>
      </c>
    </row>
    <row r="47" spans="1:12" x14ac:dyDescent="0.3">
      <c r="A47" s="236">
        <f t="shared" si="3"/>
        <v>46181</v>
      </c>
      <c r="B47" s="68">
        <f t="shared" si="4"/>
        <v>12088.973489145204</v>
      </c>
      <c r="C47" s="68">
        <f t="shared" si="5"/>
        <v>12088.973489145204</v>
      </c>
    </row>
    <row r="48" spans="1:12" x14ac:dyDescent="0.3">
      <c r="A48" s="236">
        <f t="shared" si="3"/>
        <v>46182</v>
      </c>
      <c r="B48" s="68">
        <f t="shared" si="4"/>
        <v>12088.973489145204</v>
      </c>
      <c r="C48" s="68">
        <f t="shared" si="5"/>
        <v>12088.973489145204</v>
      </c>
    </row>
    <row r="49" spans="1:3" x14ac:dyDescent="0.3">
      <c r="A49" s="236">
        <f t="shared" si="3"/>
        <v>46183</v>
      </c>
      <c r="B49" s="68">
        <f t="shared" si="4"/>
        <v>12088.973489145204</v>
      </c>
      <c r="C49" s="68">
        <f t="shared" si="5"/>
        <v>12088.973489145204</v>
      </c>
    </row>
    <row r="50" spans="1:3" x14ac:dyDescent="0.3">
      <c r="A50" s="236">
        <f t="shared" si="3"/>
        <v>46184</v>
      </c>
      <c r="B50" s="68">
        <f t="shared" si="4"/>
        <v>12088.973489145204</v>
      </c>
      <c r="C50" s="68">
        <f t="shared" si="5"/>
        <v>12088.973489145204</v>
      </c>
    </row>
    <row r="51" spans="1:3" x14ac:dyDescent="0.3">
      <c r="A51" s="236">
        <f t="shared" si="3"/>
        <v>46185</v>
      </c>
      <c r="B51" s="68">
        <f t="shared" si="4"/>
        <v>12088.973489145204</v>
      </c>
      <c r="C51" s="68">
        <f t="shared" si="5"/>
        <v>12088.973489145204</v>
      </c>
    </row>
    <row r="52" spans="1:3" x14ac:dyDescent="0.3">
      <c r="A52" s="236">
        <f t="shared" si="3"/>
        <v>46186</v>
      </c>
      <c r="B52" s="68">
        <f t="shared" si="4"/>
        <v>12088.973489145204</v>
      </c>
      <c r="C52" s="68">
        <f t="shared" si="5"/>
        <v>12088.973489145204</v>
      </c>
    </row>
    <row r="53" spans="1:3" x14ac:dyDescent="0.3">
      <c r="A53" s="236">
        <f t="shared" si="3"/>
        <v>46187</v>
      </c>
      <c r="B53" s="68">
        <f t="shared" si="4"/>
        <v>12088.973489145204</v>
      </c>
      <c r="C53" s="68">
        <f t="shared" si="5"/>
        <v>12088.973489145204</v>
      </c>
    </row>
    <row r="54" spans="1:3" x14ac:dyDescent="0.3">
      <c r="A54" s="236">
        <f t="shared" si="3"/>
        <v>46188</v>
      </c>
      <c r="B54" s="68">
        <f t="shared" si="4"/>
        <v>12088.973489145204</v>
      </c>
      <c r="C54" s="68">
        <f t="shared" si="5"/>
        <v>12088.973489145204</v>
      </c>
    </row>
    <row r="55" spans="1:3" x14ac:dyDescent="0.3">
      <c r="A55" s="236">
        <f t="shared" si="3"/>
        <v>46189</v>
      </c>
      <c r="B55" s="68">
        <f t="shared" si="4"/>
        <v>12088.973489145204</v>
      </c>
      <c r="C55" s="68">
        <f t="shared" si="5"/>
        <v>12088.973489145204</v>
      </c>
    </row>
    <row r="56" spans="1:3" x14ac:dyDescent="0.3">
      <c r="A56" s="236">
        <f t="shared" si="3"/>
        <v>46190</v>
      </c>
      <c r="B56" s="68">
        <f t="shared" si="4"/>
        <v>12088.973489145204</v>
      </c>
      <c r="C56" s="68">
        <f t="shared" si="5"/>
        <v>12088.973489145204</v>
      </c>
    </row>
    <row r="57" spans="1:3" x14ac:dyDescent="0.3">
      <c r="A57" s="236">
        <f t="shared" si="3"/>
        <v>46191</v>
      </c>
      <c r="B57" s="68">
        <f t="shared" si="4"/>
        <v>12088.973489145204</v>
      </c>
      <c r="C57" s="68">
        <f t="shared" si="5"/>
        <v>12088.973489145204</v>
      </c>
    </row>
    <row r="58" spans="1:3" x14ac:dyDescent="0.3">
      <c r="A58" s="236">
        <f t="shared" si="3"/>
        <v>46192</v>
      </c>
      <c r="B58" s="68">
        <f t="shared" si="4"/>
        <v>12088.973489145204</v>
      </c>
      <c r="C58" s="68">
        <f t="shared" si="5"/>
        <v>12088.973489145204</v>
      </c>
    </row>
    <row r="59" spans="1:3" x14ac:dyDescent="0.3">
      <c r="A59" s="236">
        <f t="shared" si="3"/>
        <v>46193</v>
      </c>
      <c r="B59" s="68">
        <f t="shared" si="4"/>
        <v>12088.973489145204</v>
      </c>
      <c r="C59" s="68">
        <f t="shared" si="5"/>
        <v>12088.973489145204</v>
      </c>
    </row>
    <row r="60" spans="1:3" x14ac:dyDescent="0.3">
      <c r="A60" s="236">
        <f t="shared" si="3"/>
        <v>46194</v>
      </c>
      <c r="B60" s="68">
        <f t="shared" si="4"/>
        <v>12088.973489145204</v>
      </c>
      <c r="C60" s="68">
        <f t="shared" si="5"/>
        <v>12088.973489145204</v>
      </c>
    </row>
    <row r="61" spans="1:3" x14ac:dyDescent="0.3">
      <c r="A61" s="236">
        <f t="shared" si="3"/>
        <v>46195</v>
      </c>
      <c r="B61" s="68">
        <f t="shared" si="4"/>
        <v>12088.973489145204</v>
      </c>
      <c r="C61" s="68">
        <f t="shared" si="5"/>
        <v>12088.973489145204</v>
      </c>
    </row>
    <row r="62" spans="1:3" x14ac:dyDescent="0.3">
      <c r="A62" s="236">
        <f t="shared" si="3"/>
        <v>46196</v>
      </c>
      <c r="B62" s="68">
        <f t="shared" si="4"/>
        <v>12088.973489145204</v>
      </c>
      <c r="C62" s="68">
        <f t="shared" si="5"/>
        <v>12088.973489145204</v>
      </c>
    </row>
    <row r="63" spans="1:3" ht="14.4" customHeight="1" x14ac:dyDescent="0.3">
      <c r="A63" s="236">
        <f t="shared" si="3"/>
        <v>46197</v>
      </c>
      <c r="B63" s="68">
        <f t="shared" si="4"/>
        <v>12088.973489145204</v>
      </c>
      <c r="C63" s="68">
        <f t="shared" si="5"/>
        <v>12088.973489145204</v>
      </c>
    </row>
    <row r="64" spans="1:3" x14ac:dyDescent="0.3">
      <c r="A64" s="236">
        <f t="shared" si="3"/>
        <v>46198</v>
      </c>
      <c r="B64" s="68">
        <f t="shared" si="4"/>
        <v>12088.973489145204</v>
      </c>
      <c r="C64" s="68">
        <f t="shared" si="5"/>
        <v>12088.973489145204</v>
      </c>
    </row>
    <row r="65" spans="1:11" x14ac:dyDescent="0.3">
      <c r="A65" s="236">
        <f t="shared" si="3"/>
        <v>46199</v>
      </c>
      <c r="B65" s="68">
        <f t="shared" si="4"/>
        <v>12088.973489145204</v>
      </c>
      <c r="C65" s="68">
        <f t="shared" si="5"/>
        <v>12088.973489145204</v>
      </c>
      <c r="J65" s="1"/>
    </row>
    <row r="66" spans="1:11" x14ac:dyDescent="0.3">
      <c r="A66" s="236">
        <f t="shared" si="3"/>
        <v>46200</v>
      </c>
      <c r="B66" s="68">
        <f t="shared" si="4"/>
        <v>12088.973489145204</v>
      </c>
      <c r="C66" s="68">
        <f t="shared" si="5"/>
        <v>12088.973489145204</v>
      </c>
      <c r="J66" s="1"/>
      <c r="K66" s="312"/>
    </row>
    <row r="67" spans="1:11" x14ac:dyDescent="0.3">
      <c r="A67" s="236">
        <f t="shared" si="3"/>
        <v>46201</v>
      </c>
      <c r="B67" s="68">
        <f t="shared" si="4"/>
        <v>12088.973489145204</v>
      </c>
      <c r="C67" s="68">
        <f t="shared" si="5"/>
        <v>12088.973489145204</v>
      </c>
      <c r="J67" s="1"/>
      <c r="K67" s="312"/>
    </row>
    <row r="68" spans="1:11" x14ac:dyDescent="0.3">
      <c r="A68" s="236">
        <f t="shared" si="3"/>
        <v>46202</v>
      </c>
      <c r="B68" s="68">
        <f t="shared" si="4"/>
        <v>12088.973489145204</v>
      </c>
      <c r="C68" s="68">
        <f t="shared" si="5"/>
        <v>12088.973489145204</v>
      </c>
      <c r="J68" s="1"/>
      <c r="K68" s="312"/>
    </row>
    <row r="69" spans="1:11" x14ac:dyDescent="0.3">
      <c r="A69" s="236">
        <f t="shared" si="3"/>
        <v>46203</v>
      </c>
      <c r="B69" s="68">
        <f t="shared" si="4"/>
        <v>12088.973489145204</v>
      </c>
      <c r="C69" s="68">
        <f>SUM(B69:B69)</f>
        <v>12088.973489145204</v>
      </c>
      <c r="J69" s="1"/>
      <c r="K69" s="312"/>
    </row>
    <row r="70" spans="1:11" x14ac:dyDescent="0.3">
      <c r="A70" s="8" t="s">
        <v>18</v>
      </c>
      <c r="B70" s="239">
        <f>SUM(B40:B69)</f>
        <v>362669.20467435621</v>
      </c>
      <c r="C70" s="239">
        <f>SUM(C40:C69)</f>
        <v>362669.20467435621</v>
      </c>
      <c r="D70" s="312"/>
    </row>
    <row r="71" spans="1:11" x14ac:dyDescent="0.3">
      <c r="A71" s="739"/>
      <c r="B71" s="739"/>
      <c r="C71" s="739"/>
    </row>
    <row r="72" spans="1:11" x14ac:dyDescent="0.3">
      <c r="A72" s="742" t="s">
        <v>52</v>
      </c>
      <c r="B72" s="742"/>
      <c r="C72" s="742"/>
    </row>
    <row r="73" spans="1:11" s="234" customFormat="1" ht="41.4" x14ac:dyDescent="0.3">
      <c r="A73" s="94" t="s">
        <v>22</v>
      </c>
      <c r="B73" s="237" t="s">
        <v>265</v>
      </c>
      <c r="C73" s="233" t="s">
        <v>0</v>
      </c>
    </row>
    <row r="74" spans="1:11" x14ac:dyDescent="0.3">
      <c r="A74" s="240" t="s">
        <v>19</v>
      </c>
      <c r="B74" s="119">
        <f>'[2]SONERI-FATR'!$B$87</f>
        <v>1467684.9170844334</v>
      </c>
      <c r="C74" s="392">
        <f>SUM(B74:B74)</f>
        <v>1467684.9170844334</v>
      </c>
      <c r="D74" s="193"/>
      <c r="E74" s="1"/>
    </row>
    <row r="75" spans="1:11" x14ac:dyDescent="0.3">
      <c r="A75" s="240" t="s">
        <v>20</v>
      </c>
      <c r="B75" s="73">
        <f>B70</f>
        <v>362669.20467435621</v>
      </c>
      <c r="C75" s="545">
        <f>SUM(B75:B75)</f>
        <v>362669.20467435621</v>
      </c>
      <c r="E75" s="69"/>
      <c r="F75" s="312"/>
    </row>
    <row r="76" spans="1:11" x14ac:dyDescent="0.3">
      <c r="A76" s="240" t="s">
        <v>29</v>
      </c>
      <c r="B76" s="215"/>
      <c r="C76" s="392">
        <f>SUM(B76:B76)</f>
        <v>0</v>
      </c>
    </row>
    <row r="77" spans="1:11" x14ac:dyDescent="0.3">
      <c r="A77" s="240" t="s">
        <v>18</v>
      </c>
      <c r="B77" s="68">
        <f>SUM(B74:B76)</f>
        <v>1830354.1217587895</v>
      </c>
      <c r="C77" s="392">
        <f>SUM(B77:B77)</f>
        <v>1830354.1217587895</v>
      </c>
    </row>
    <row r="78" spans="1:11" x14ac:dyDescent="0.3">
      <c r="A78" s="738"/>
      <c r="B78" s="738"/>
      <c r="C78" s="738"/>
    </row>
    <row r="79" spans="1:11" x14ac:dyDescent="0.3">
      <c r="A79" s="241" t="s">
        <v>32</v>
      </c>
      <c r="B79" s="119">
        <v>0</v>
      </c>
      <c r="C79" s="151">
        <f>SUM(B79:B79)</f>
        <v>0</v>
      </c>
      <c r="D79" s="242"/>
      <c r="E79" s="312"/>
    </row>
    <row r="80" spans="1:11" x14ac:dyDescent="0.3">
      <c r="A80" s="739"/>
      <c r="B80" s="739"/>
      <c r="C80" s="739"/>
      <c r="E80" s="390"/>
    </row>
    <row r="81" spans="1:5" x14ac:dyDescent="0.3">
      <c r="A81" s="241" t="s">
        <v>11</v>
      </c>
      <c r="B81" s="408">
        <v>0</v>
      </c>
      <c r="C81" s="151">
        <f>SUM(B81:B81)</f>
        <v>0</v>
      </c>
      <c r="E81" s="390"/>
    </row>
    <row r="82" spans="1:5" x14ac:dyDescent="0.3">
      <c r="A82" s="739"/>
      <c r="B82" s="739"/>
      <c r="C82" s="739"/>
      <c r="E82" s="312"/>
    </row>
    <row r="83" spans="1:5" x14ac:dyDescent="0.3">
      <c r="A83" s="243" t="s">
        <v>21</v>
      </c>
      <c r="B83" s="74">
        <f>B70+B81+B76</f>
        <v>362669.20467435621</v>
      </c>
      <c r="C83" s="74">
        <f>SUM(B83:B83)</f>
        <v>362669.20467435621</v>
      </c>
    </row>
    <row r="84" spans="1:5" x14ac:dyDescent="0.3">
      <c r="A84" s="739"/>
      <c r="B84" s="739"/>
      <c r="C84" s="739"/>
    </row>
    <row r="85" spans="1:5" x14ac:dyDescent="0.3">
      <c r="A85" s="244" t="s">
        <v>33</v>
      </c>
      <c r="B85" s="245">
        <f>B77+B81-B79</f>
        <v>1830354.1217587895</v>
      </c>
      <c r="C85" s="245">
        <f>SUM(B85:B85)</f>
        <v>1830354.1217587895</v>
      </c>
    </row>
  </sheetData>
  <mergeCells count="10">
    <mergeCell ref="A78:C78"/>
    <mergeCell ref="A80:C80"/>
    <mergeCell ref="A82:C82"/>
    <mergeCell ref="A84:C84"/>
    <mergeCell ref="A1:C1"/>
    <mergeCell ref="A3:C3"/>
    <mergeCell ref="A4:C4"/>
    <mergeCell ref="A37:C37"/>
    <mergeCell ref="A71:C71"/>
    <mergeCell ref="A72:C72"/>
  </mergeCells>
  <phoneticPr fontId="30" type="noConversion"/>
  <printOptions horizontalCentered="1" verticalCentered="1"/>
  <pageMargins left="0.25" right="0.25" top="0.5" bottom="0.5" header="0.5" footer="0.5"/>
  <pageSetup scale="42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8</vt:i4>
      </vt:variant>
    </vt:vector>
  </HeadingPairs>
  <TitlesOfParts>
    <vt:vector size="28" baseType="lpstr">
      <vt:lpstr>VOUCHER </vt:lpstr>
      <vt:lpstr>FINANCIAL COST SUMMARY </vt:lpstr>
      <vt:lpstr>USANCE LC SHEET (2025)</vt:lpstr>
      <vt:lpstr>FINANCIAL SUMMARY</vt:lpstr>
      <vt:lpstr>INFLOW-OUTFLOW SUMMARY</vt:lpstr>
      <vt:lpstr>BORROWING SUMMARY </vt:lpstr>
      <vt:lpstr>MCB-FATR </vt:lpstr>
      <vt:lpstr>MCB-RF </vt:lpstr>
      <vt:lpstr>SONERI-FATR</vt:lpstr>
      <vt:lpstr>SONERI-RF</vt:lpstr>
      <vt:lpstr>BOP-RF</vt:lpstr>
      <vt:lpstr>BOP-FATR</vt:lpstr>
      <vt:lpstr>ASKARI-FATR</vt:lpstr>
      <vt:lpstr>NBP-Musawammah</vt:lpstr>
      <vt:lpstr>HBL-FATR</vt:lpstr>
      <vt:lpstr>HBL-RF</vt:lpstr>
      <vt:lpstr>PICL-LT</vt:lpstr>
      <vt:lpstr>FINANCIAL COST SUMMARY</vt:lpstr>
      <vt:lpstr>VOUCHER</vt:lpstr>
      <vt:lpstr>ALFALAH-FE25</vt:lpstr>
      <vt:lpstr>'BORROWING SUMMARY '!Print_Area</vt:lpstr>
      <vt:lpstr>'FINANCIAL COST SUMMARY'!Print_Area</vt:lpstr>
      <vt:lpstr>'FINANCIAL COST SUMMARY '!Print_Area</vt:lpstr>
      <vt:lpstr>'FINANCIAL SUMMARY'!Print_Area</vt:lpstr>
      <vt:lpstr>'SONERI-RF'!Print_Area</vt:lpstr>
      <vt:lpstr>'USANCE LC SHEET (2025)'!Print_Area</vt:lpstr>
      <vt:lpstr>VOUCHER!Print_Area</vt:lpstr>
      <vt:lpstr>'VOUCHER '!Print_Area</vt:lpstr>
    </vt:vector>
  </TitlesOfParts>
  <Company>Nimir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</dc:creator>
  <cp:lastModifiedBy>Naveed Mustafa</cp:lastModifiedBy>
  <cp:lastPrinted>2026-06-30T05:07:40Z</cp:lastPrinted>
  <dcterms:created xsi:type="dcterms:W3CDTF">2001-02-07T13:37:55Z</dcterms:created>
  <dcterms:modified xsi:type="dcterms:W3CDTF">2026-06-30T07:51:28Z</dcterms:modified>
</cp:coreProperties>
</file>