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Nimir Chemcoat Limited\Financial Cost\2026-2027\"/>
    </mc:Choice>
  </mc:AlternateContent>
  <xr:revisionPtr revIDLastSave="0" documentId="8_{FAD6A5E0-CE15-4CC1-8788-40C7E6F4E36D}" xr6:coauthVersionLast="47" xr6:coauthVersionMax="47" xr10:uidLastSave="{00000000-0000-0000-0000-000000000000}"/>
  <bookViews>
    <workbookView xWindow="-108" yWindow="-108" windowWidth="23256" windowHeight="12456" tabRatio="921" firstSheet="2" activeTab="2" xr2:uid="{B1E434F1-55CC-4C0C-9F40-486A2C35D9AA}"/>
  </bookViews>
  <sheets>
    <sheet name="VOUCHER " sheetId="74" r:id="rId1"/>
    <sheet name="USANCE LC SHEET (2025)" sheetId="90" state="hidden" r:id="rId2"/>
    <sheet name="FINANCIAL COST SUMMARY " sheetId="73" r:id="rId3"/>
    <sheet name="FINANCIAL SUMMARY" sheetId="69" r:id="rId4"/>
    <sheet name="INFLOW-OUTFLOW SUMMARY" sheetId="68" r:id="rId5"/>
    <sheet name="BORROWING SUMMARY " sheetId="70" r:id="rId6"/>
    <sheet name="Sheet1" sheetId="91" state="hidden" r:id="rId7"/>
    <sheet name="MCB-RF " sheetId="75" r:id="rId8"/>
    <sheet name="MCB-FATR " sheetId="76" r:id="rId9"/>
    <sheet name="SONERI-RF " sheetId="72" r:id="rId10"/>
    <sheet name="SONERI-FATR" sheetId="71" r:id="rId11"/>
    <sheet name="BOP - RF" sheetId="77" r:id="rId12"/>
    <sheet name="BOP - FATR" sheetId="78" r:id="rId13"/>
    <sheet name="BIPL-FATR" sheetId="80" r:id="rId14"/>
    <sheet name="BIPL-RF" sheetId="79" r:id="rId15"/>
    <sheet name="MBL-Musawammah" sheetId="89" r:id="rId16"/>
    <sheet name="NBP-ISLAMIC" sheetId="86" r:id="rId17"/>
    <sheet name="FBL-ISTISNA" sheetId="93" r:id="rId18"/>
    <sheet name="FBL-ISTISNA 2 " sheetId="92" state="hidden" r:id="rId19"/>
    <sheet name="PBICL" sheetId="81" r:id="rId20"/>
    <sheet name="PBICL (RPS)" sheetId="82" r:id="rId21"/>
    <sheet name="STATUS 1" sheetId="88" state="hidden" r:id="rId22"/>
    <sheet name="STATUS" sheetId="87" state="hidden" r:id="rId23"/>
    <sheet name="VOUCHER" sheetId="49" state="hidden" r:id="rId24"/>
    <sheet name="ALFALAH-FE25" sheetId="66" state="hidden" r:id="rId25"/>
    <sheet name="BOP-FATR" sheetId="31" state="hidden" r:id="rId26"/>
    <sheet name="BOP-RF" sheetId="18" state="hidden" r:id="rId27"/>
  </sheets>
  <externalReferences>
    <externalReference r:id="rId28"/>
    <externalReference r:id="rId29"/>
    <externalReference r:id="rId30"/>
    <externalReference r:id="rId31"/>
  </externalReferences>
  <definedNames>
    <definedName name="_xlnm._FilterDatabase" localSheetId="1" hidden="1">'USANCE LC SHEET (2025)'!$A$7:$S$8</definedName>
    <definedName name="_xlnm.Print_Area" localSheetId="24">'ALFALAH-FE25'!#REF!</definedName>
    <definedName name="_xlnm.Print_Area" localSheetId="14">'BIPL-RF'!#REF!</definedName>
    <definedName name="_xlnm.Print_Area" localSheetId="11">'BOP - RF'!#REF!</definedName>
    <definedName name="_xlnm.Print_Area" localSheetId="26">'BOP-RF'!#REF!</definedName>
    <definedName name="_xlnm.Print_Area" localSheetId="5">'BORROWING SUMMARY '!$A$1:$N$25</definedName>
    <definedName name="_xlnm.Print_Area" localSheetId="18">'FBL-ISTISNA 2 '!#REF!</definedName>
    <definedName name="_xlnm.Print_Area" localSheetId="2">'FINANCIAL COST SUMMARY '!$A$1:$I$17</definedName>
    <definedName name="_xlnm.Print_Area" localSheetId="3">'FINANCIAL SUMMARY'!$A$1:$B$47</definedName>
    <definedName name="_xlnm.Print_Area" localSheetId="4">'INFLOW-OUTFLOW SUMMARY'!$A$1:$AA$40</definedName>
    <definedName name="_xlnm.Print_Area" localSheetId="7">'MCB-RF '!#REF!</definedName>
    <definedName name="_xlnm.Print_Area" localSheetId="16">'NBP-ISLAMIC'!#REF!</definedName>
    <definedName name="_xlnm.Print_Area" localSheetId="19">PBICL!#REF!</definedName>
    <definedName name="_xlnm.Print_Area" localSheetId="20">'PBICL (RPS)'!#REF!</definedName>
    <definedName name="_xlnm.Print_Area" localSheetId="9">'SONERI-RF '!$A$1:$E$36</definedName>
    <definedName name="_xlnm.Print_Area" localSheetId="1">'USANCE LC SHEET (2025)'!$A$3:$Q$14</definedName>
    <definedName name="_xlnm.Print_Area" localSheetId="23">VOUCHER!$A$1:$H$13</definedName>
    <definedName name="_xlnm.Print_Area" localSheetId="0">'VOUCHER 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8" l="1"/>
  <c r="E6" i="18"/>
  <c r="I6" i="18"/>
  <c r="K6" i="18"/>
  <c r="E7" i="18"/>
  <c r="I7" i="18"/>
  <c r="K7" i="18"/>
  <c r="E8" i="18"/>
  <c r="I8" i="18"/>
  <c r="K8" i="18"/>
  <c r="E9" i="18"/>
  <c r="I9" i="18"/>
  <c r="K9" i="18"/>
  <c r="E10" i="18"/>
  <c r="I10" i="18"/>
  <c r="K10" i="18"/>
  <c r="E11" i="18"/>
  <c r="I11" i="18"/>
  <c r="K11" i="18"/>
  <c r="E12" i="18"/>
  <c r="I12" i="18"/>
  <c r="K12" i="18"/>
  <c r="E13" i="18"/>
  <c r="I13" i="18"/>
  <c r="K13" i="18"/>
  <c r="E14" i="18"/>
  <c r="I14" i="18"/>
  <c r="K14" i="18"/>
  <c r="E15" i="18"/>
  <c r="I15" i="18"/>
  <c r="K15" i="18"/>
  <c r="E16" i="18"/>
  <c r="I16" i="18"/>
  <c r="K16" i="18"/>
  <c r="E17" i="18"/>
  <c r="I17" i="18"/>
  <c r="K17" i="18"/>
  <c r="E18" i="18"/>
  <c r="I18" i="18"/>
  <c r="K18" i="18"/>
  <c r="E19" i="18"/>
  <c r="I19" i="18"/>
  <c r="K19" i="18"/>
  <c r="E20" i="18"/>
  <c r="I20" i="18"/>
  <c r="K20" i="18"/>
  <c r="E21" i="18"/>
  <c r="I21" i="18"/>
  <c r="K21" i="18"/>
  <c r="E22" i="18"/>
  <c r="I22" i="18"/>
  <c r="K22" i="18"/>
  <c r="E23" i="18"/>
  <c r="I23" i="18"/>
  <c r="K23" i="18"/>
  <c r="E24" i="18"/>
  <c r="I24" i="18"/>
  <c r="K24" i="18"/>
  <c r="E25" i="18"/>
  <c r="I25" i="18"/>
  <c r="K25" i="18"/>
  <c r="E26" i="18"/>
  <c r="I26" i="18"/>
  <c r="K26" i="18"/>
  <c r="E27" i="18"/>
  <c r="I27" i="18"/>
  <c r="K27" i="18"/>
  <c r="E28" i="18"/>
  <c r="I28" i="18"/>
  <c r="K28" i="18"/>
  <c r="E29" i="18"/>
  <c r="I29" i="18"/>
  <c r="K29" i="18"/>
  <c r="E30" i="18"/>
  <c r="I30" i="18"/>
  <c r="K30" i="18"/>
  <c r="E31" i="18"/>
  <c r="I31" i="18"/>
  <c r="K31" i="18"/>
  <c r="E32" i="18"/>
  <c r="I32" i="18"/>
  <c r="K32" i="18"/>
  <c r="E33" i="18"/>
  <c r="I33" i="18"/>
  <c r="K33" i="18"/>
  <c r="K37" i="18"/>
  <c r="G43" i="18"/>
  <c r="K43" i="18"/>
  <c r="K45" i="18"/>
  <c r="K47" i="18"/>
  <c r="D2" i="31"/>
  <c r="H5" i="31"/>
  <c r="D6" i="31"/>
  <c r="D7" i="31"/>
  <c r="D8" i="31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B39" i="31"/>
  <c r="A41" i="31"/>
  <c r="B41" i="31"/>
  <c r="D41" i="31"/>
  <c r="A42" i="31"/>
  <c r="B42" i="31"/>
  <c r="D42" i="31"/>
  <c r="A43" i="31"/>
  <c r="B43" i="31"/>
  <c r="D43" i="31"/>
  <c r="A44" i="31"/>
  <c r="B44" i="31"/>
  <c r="D44" i="31"/>
  <c r="A45" i="31"/>
  <c r="B45" i="31"/>
  <c r="D45" i="31"/>
  <c r="A46" i="31"/>
  <c r="B46" i="31"/>
  <c r="D46" i="31"/>
  <c r="A47" i="31"/>
  <c r="B47" i="31"/>
  <c r="D47" i="31"/>
  <c r="A48" i="31"/>
  <c r="B48" i="31"/>
  <c r="D48" i="31"/>
  <c r="A49" i="31"/>
  <c r="B49" i="31"/>
  <c r="D49" i="31"/>
  <c r="A50" i="31"/>
  <c r="B50" i="31"/>
  <c r="D50" i="31"/>
  <c r="A51" i="31"/>
  <c r="B51" i="31"/>
  <c r="D51" i="31"/>
  <c r="A52" i="31"/>
  <c r="B52" i="31"/>
  <c r="D52" i="31"/>
  <c r="A53" i="31"/>
  <c r="B53" i="31"/>
  <c r="D53" i="31"/>
  <c r="A54" i="31"/>
  <c r="B54" i="31"/>
  <c r="D54" i="31"/>
  <c r="A55" i="31"/>
  <c r="B55" i="31"/>
  <c r="D55" i="31"/>
  <c r="A56" i="31"/>
  <c r="B56" i="31"/>
  <c r="D56" i="31"/>
  <c r="A57" i="31"/>
  <c r="B57" i="31"/>
  <c r="D57" i="31"/>
  <c r="A58" i="31"/>
  <c r="B58" i="31"/>
  <c r="D58" i="31"/>
  <c r="A59" i="31"/>
  <c r="B59" i="31"/>
  <c r="D59" i="31"/>
  <c r="A60" i="31"/>
  <c r="B60" i="31"/>
  <c r="D60" i="31"/>
  <c r="A61" i="31"/>
  <c r="B61" i="31"/>
  <c r="D61" i="31"/>
  <c r="A62" i="31"/>
  <c r="B62" i="31"/>
  <c r="D62" i="31"/>
  <c r="A63" i="31"/>
  <c r="B63" i="31"/>
  <c r="D63" i="31"/>
  <c r="A64" i="31"/>
  <c r="B64" i="31"/>
  <c r="D64" i="31"/>
  <c r="A65" i="31"/>
  <c r="B65" i="31"/>
  <c r="D65" i="31"/>
  <c r="A66" i="31"/>
  <c r="B66" i="31"/>
  <c r="D66" i="31"/>
  <c r="A67" i="31"/>
  <c r="B67" i="31"/>
  <c r="D67" i="31"/>
  <c r="A68" i="31"/>
  <c r="B68" i="31"/>
  <c r="D68" i="31"/>
  <c r="B72" i="31"/>
  <c r="D72" i="31"/>
  <c r="B75" i="31"/>
  <c r="B77" i="31"/>
  <c r="D77" i="31"/>
  <c r="D78" i="31"/>
  <c r="B79" i="31"/>
  <c r="D79" i="31"/>
  <c r="D81" i="31"/>
  <c r="D83" i="31"/>
  <c r="B85" i="31"/>
  <c r="D85" i="31"/>
  <c r="B87" i="31"/>
  <c r="D87" i="31"/>
  <c r="G2" i="66"/>
  <c r="G6" i="66"/>
  <c r="K6" i="66"/>
  <c r="B7" i="66"/>
  <c r="C7" i="66"/>
  <c r="D7" i="66"/>
  <c r="E7" i="66"/>
  <c r="G7" i="66"/>
  <c r="B8" i="66"/>
  <c r="C8" i="66"/>
  <c r="D8" i="66"/>
  <c r="E8" i="66"/>
  <c r="G8" i="66"/>
  <c r="B9" i="66"/>
  <c r="C9" i="66"/>
  <c r="D9" i="66"/>
  <c r="E9" i="66"/>
  <c r="G9" i="66"/>
  <c r="B10" i="66"/>
  <c r="C10" i="66"/>
  <c r="D10" i="66"/>
  <c r="E10" i="66"/>
  <c r="G10" i="66"/>
  <c r="B11" i="66"/>
  <c r="C11" i="66"/>
  <c r="D11" i="66"/>
  <c r="E11" i="66"/>
  <c r="G11" i="66"/>
  <c r="B12" i="66"/>
  <c r="C12" i="66"/>
  <c r="D12" i="66"/>
  <c r="E12" i="66"/>
  <c r="G12" i="66"/>
  <c r="B13" i="66"/>
  <c r="C13" i="66"/>
  <c r="D13" i="66"/>
  <c r="E13" i="66"/>
  <c r="G13" i="66"/>
  <c r="B14" i="66"/>
  <c r="C14" i="66"/>
  <c r="D14" i="66"/>
  <c r="E14" i="66"/>
  <c r="G14" i="66"/>
  <c r="B15" i="66"/>
  <c r="C15" i="66"/>
  <c r="D15" i="66"/>
  <c r="E15" i="66"/>
  <c r="G15" i="66"/>
  <c r="B16" i="66"/>
  <c r="C16" i="66"/>
  <c r="D16" i="66"/>
  <c r="E16" i="66"/>
  <c r="G16" i="66"/>
  <c r="B17" i="66"/>
  <c r="C17" i="66"/>
  <c r="D17" i="66"/>
  <c r="E17" i="66"/>
  <c r="G17" i="66"/>
  <c r="B18" i="66"/>
  <c r="C18" i="66"/>
  <c r="D18" i="66"/>
  <c r="E18" i="66"/>
  <c r="G18" i="66"/>
  <c r="B19" i="66"/>
  <c r="C19" i="66"/>
  <c r="D19" i="66"/>
  <c r="E19" i="66"/>
  <c r="G19" i="66"/>
  <c r="B20" i="66"/>
  <c r="C20" i="66"/>
  <c r="D20" i="66"/>
  <c r="E20" i="66"/>
  <c r="G20" i="66"/>
  <c r="B21" i="66"/>
  <c r="C21" i="66"/>
  <c r="D21" i="66"/>
  <c r="E21" i="66"/>
  <c r="G21" i="66"/>
  <c r="B22" i="66"/>
  <c r="C22" i="66"/>
  <c r="D22" i="66"/>
  <c r="E22" i="66"/>
  <c r="G22" i="66"/>
  <c r="B23" i="66"/>
  <c r="C23" i="66"/>
  <c r="D23" i="66"/>
  <c r="E23" i="66"/>
  <c r="G23" i="66"/>
  <c r="B24" i="66"/>
  <c r="C24" i="66"/>
  <c r="D24" i="66"/>
  <c r="E24" i="66"/>
  <c r="G24" i="66"/>
  <c r="B25" i="66"/>
  <c r="C25" i="66"/>
  <c r="D25" i="66"/>
  <c r="E25" i="66"/>
  <c r="G25" i="66"/>
  <c r="B26" i="66"/>
  <c r="C26" i="66"/>
  <c r="D26" i="66"/>
  <c r="E26" i="66"/>
  <c r="G26" i="66"/>
  <c r="B27" i="66"/>
  <c r="C27" i="66"/>
  <c r="D27" i="66"/>
  <c r="E27" i="66"/>
  <c r="G27" i="66"/>
  <c r="B28" i="66"/>
  <c r="C28" i="66"/>
  <c r="D28" i="66"/>
  <c r="E28" i="66"/>
  <c r="G28" i="66"/>
  <c r="B29" i="66"/>
  <c r="C29" i="66"/>
  <c r="D29" i="66"/>
  <c r="E29" i="66"/>
  <c r="G29" i="66"/>
  <c r="B30" i="66"/>
  <c r="C30" i="66"/>
  <c r="D30" i="66"/>
  <c r="E30" i="66"/>
  <c r="G30" i="66"/>
  <c r="B31" i="66"/>
  <c r="C31" i="66"/>
  <c r="D31" i="66"/>
  <c r="E31" i="66"/>
  <c r="G31" i="66"/>
  <c r="B32" i="66"/>
  <c r="C32" i="66"/>
  <c r="D32" i="66"/>
  <c r="E32" i="66"/>
  <c r="G32" i="66"/>
  <c r="B33" i="66"/>
  <c r="C33" i="66"/>
  <c r="D33" i="66"/>
  <c r="E33" i="66"/>
  <c r="G33" i="66"/>
  <c r="B34" i="66"/>
  <c r="C34" i="66"/>
  <c r="D34" i="66"/>
  <c r="E34" i="66"/>
  <c r="G34" i="66"/>
  <c r="G35" i="66"/>
  <c r="B38" i="66"/>
  <c r="C38" i="66"/>
  <c r="D38" i="66"/>
  <c r="E38" i="66"/>
  <c r="C39" i="66"/>
  <c r="D39" i="66"/>
  <c r="E39" i="66"/>
  <c r="A41" i="66"/>
  <c r="B41" i="66"/>
  <c r="C41" i="66"/>
  <c r="D41" i="66"/>
  <c r="E41" i="66"/>
  <c r="G41" i="66"/>
  <c r="A42" i="66"/>
  <c r="B42" i="66"/>
  <c r="C42" i="66"/>
  <c r="D42" i="66"/>
  <c r="E42" i="66"/>
  <c r="G42" i="66"/>
  <c r="A43" i="66"/>
  <c r="B43" i="66"/>
  <c r="C43" i="66"/>
  <c r="D43" i="66"/>
  <c r="E43" i="66"/>
  <c r="G43" i="66"/>
  <c r="A44" i="66"/>
  <c r="B44" i="66"/>
  <c r="C44" i="66"/>
  <c r="D44" i="66"/>
  <c r="E44" i="66"/>
  <c r="G44" i="66"/>
  <c r="A45" i="66"/>
  <c r="B45" i="66"/>
  <c r="C45" i="66"/>
  <c r="D45" i="66"/>
  <c r="E45" i="66"/>
  <c r="G45" i="66"/>
  <c r="A46" i="66"/>
  <c r="B46" i="66"/>
  <c r="C46" i="66"/>
  <c r="D46" i="66"/>
  <c r="E46" i="66"/>
  <c r="G46" i="66"/>
  <c r="A47" i="66"/>
  <c r="B47" i="66"/>
  <c r="C47" i="66"/>
  <c r="D47" i="66"/>
  <c r="E47" i="66"/>
  <c r="G47" i="66"/>
  <c r="A48" i="66"/>
  <c r="B48" i="66"/>
  <c r="C48" i="66"/>
  <c r="D48" i="66"/>
  <c r="E48" i="66"/>
  <c r="G48" i="66"/>
  <c r="A49" i="66"/>
  <c r="B49" i="66"/>
  <c r="C49" i="66"/>
  <c r="D49" i="66"/>
  <c r="E49" i="66"/>
  <c r="G49" i="66"/>
  <c r="A50" i="66"/>
  <c r="B50" i="66"/>
  <c r="C50" i="66"/>
  <c r="D50" i="66"/>
  <c r="E50" i="66"/>
  <c r="G50" i="66"/>
  <c r="A51" i="66"/>
  <c r="B51" i="66"/>
  <c r="C51" i="66"/>
  <c r="D51" i="66"/>
  <c r="E51" i="66"/>
  <c r="G51" i="66"/>
  <c r="A52" i="66"/>
  <c r="B52" i="66"/>
  <c r="C52" i="66"/>
  <c r="D52" i="66"/>
  <c r="E52" i="66"/>
  <c r="G52" i="66"/>
  <c r="A53" i="66"/>
  <c r="B53" i="66"/>
  <c r="C53" i="66"/>
  <c r="D53" i="66"/>
  <c r="E53" i="66"/>
  <c r="G53" i="66"/>
  <c r="A54" i="66"/>
  <c r="B54" i="66"/>
  <c r="C54" i="66"/>
  <c r="D54" i="66"/>
  <c r="E54" i="66"/>
  <c r="G54" i="66"/>
  <c r="A55" i="66"/>
  <c r="B55" i="66"/>
  <c r="C55" i="66"/>
  <c r="D55" i="66"/>
  <c r="E55" i="66"/>
  <c r="G55" i="66"/>
  <c r="A56" i="66"/>
  <c r="B56" i="66"/>
  <c r="C56" i="66"/>
  <c r="D56" i="66"/>
  <c r="E56" i="66"/>
  <c r="G56" i="66"/>
  <c r="A57" i="66"/>
  <c r="B57" i="66"/>
  <c r="C57" i="66"/>
  <c r="D57" i="66"/>
  <c r="E57" i="66"/>
  <c r="G57" i="66"/>
  <c r="A58" i="66"/>
  <c r="B58" i="66"/>
  <c r="C58" i="66"/>
  <c r="D58" i="66"/>
  <c r="E58" i="66"/>
  <c r="G58" i="66"/>
  <c r="A59" i="66"/>
  <c r="B59" i="66"/>
  <c r="C59" i="66"/>
  <c r="D59" i="66"/>
  <c r="E59" i="66"/>
  <c r="G59" i="66"/>
  <c r="A60" i="66"/>
  <c r="B60" i="66"/>
  <c r="C60" i="66"/>
  <c r="D60" i="66"/>
  <c r="E60" i="66"/>
  <c r="G60" i="66"/>
  <c r="A61" i="66"/>
  <c r="B61" i="66"/>
  <c r="C61" i="66"/>
  <c r="D61" i="66"/>
  <c r="E61" i="66"/>
  <c r="G61" i="66"/>
  <c r="A62" i="66"/>
  <c r="B62" i="66"/>
  <c r="C62" i="66"/>
  <c r="D62" i="66"/>
  <c r="E62" i="66"/>
  <c r="G62" i="66"/>
  <c r="A63" i="66"/>
  <c r="B63" i="66"/>
  <c r="C63" i="66"/>
  <c r="D63" i="66"/>
  <c r="E63" i="66"/>
  <c r="G63" i="66"/>
  <c r="A64" i="66"/>
  <c r="B64" i="66"/>
  <c r="C64" i="66"/>
  <c r="D64" i="66"/>
  <c r="E64" i="66"/>
  <c r="G64" i="66"/>
  <c r="A65" i="66"/>
  <c r="B65" i="66"/>
  <c r="C65" i="66"/>
  <c r="D65" i="66"/>
  <c r="E65" i="66"/>
  <c r="G65" i="66"/>
  <c r="A66" i="66"/>
  <c r="B66" i="66"/>
  <c r="C66" i="66"/>
  <c r="D66" i="66"/>
  <c r="E66" i="66"/>
  <c r="G66" i="66"/>
  <c r="A67" i="66"/>
  <c r="B67" i="66"/>
  <c r="C67" i="66"/>
  <c r="D67" i="66"/>
  <c r="E67" i="66"/>
  <c r="G67" i="66"/>
  <c r="A68" i="66"/>
  <c r="B68" i="66"/>
  <c r="C68" i="66"/>
  <c r="D68" i="66"/>
  <c r="E68" i="66"/>
  <c r="G68" i="66"/>
  <c r="A69" i="66"/>
  <c r="B69" i="66"/>
  <c r="C69" i="66"/>
  <c r="D69" i="66"/>
  <c r="E69" i="66"/>
  <c r="G69" i="66"/>
  <c r="A70" i="66"/>
  <c r="B70" i="66"/>
  <c r="C70" i="66"/>
  <c r="D70" i="66"/>
  <c r="E70" i="66"/>
  <c r="G70" i="66"/>
  <c r="B73" i="66"/>
  <c r="C73" i="66"/>
  <c r="D73" i="66"/>
  <c r="E73" i="66"/>
  <c r="C74" i="66"/>
  <c r="D74" i="66"/>
  <c r="E74" i="66"/>
  <c r="A76" i="66"/>
  <c r="B76" i="66"/>
  <c r="C76" i="66"/>
  <c r="D76" i="66"/>
  <c r="E76" i="66"/>
  <c r="G76" i="66"/>
  <c r="A77" i="66"/>
  <c r="B77" i="66"/>
  <c r="C77" i="66"/>
  <c r="D77" i="66"/>
  <c r="E77" i="66"/>
  <c r="G77" i="66"/>
  <c r="A78" i="66"/>
  <c r="B78" i="66"/>
  <c r="C78" i="66"/>
  <c r="D78" i="66"/>
  <c r="E78" i="66"/>
  <c r="G78" i="66"/>
  <c r="A79" i="66"/>
  <c r="B79" i="66"/>
  <c r="C79" i="66"/>
  <c r="D79" i="66"/>
  <c r="E79" i="66"/>
  <c r="G79" i="66"/>
  <c r="A80" i="66"/>
  <c r="B80" i="66"/>
  <c r="C80" i="66"/>
  <c r="D80" i="66"/>
  <c r="E80" i="66"/>
  <c r="G80" i="66"/>
  <c r="A81" i="66"/>
  <c r="B81" i="66"/>
  <c r="C81" i="66"/>
  <c r="D81" i="66"/>
  <c r="E81" i="66"/>
  <c r="G81" i="66"/>
  <c r="A82" i="66"/>
  <c r="B82" i="66"/>
  <c r="C82" i="66"/>
  <c r="D82" i="66"/>
  <c r="E82" i="66"/>
  <c r="G82" i="66"/>
  <c r="A83" i="66"/>
  <c r="B83" i="66"/>
  <c r="C83" i="66"/>
  <c r="D83" i="66"/>
  <c r="E83" i="66"/>
  <c r="G83" i="66"/>
  <c r="A84" i="66"/>
  <c r="B84" i="66"/>
  <c r="C84" i="66"/>
  <c r="D84" i="66"/>
  <c r="E84" i="66"/>
  <c r="G84" i="66"/>
  <c r="A85" i="66"/>
  <c r="B85" i="66"/>
  <c r="C85" i="66"/>
  <c r="D85" i="66"/>
  <c r="E85" i="66"/>
  <c r="G85" i="66"/>
  <c r="A86" i="66"/>
  <c r="B86" i="66"/>
  <c r="C86" i="66"/>
  <c r="D86" i="66"/>
  <c r="E86" i="66"/>
  <c r="G86" i="66"/>
  <c r="A87" i="66"/>
  <c r="B87" i="66"/>
  <c r="C87" i="66"/>
  <c r="D87" i="66"/>
  <c r="E87" i="66"/>
  <c r="G87" i="66"/>
  <c r="A88" i="66"/>
  <c r="B88" i="66"/>
  <c r="C88" i="66"/>
  <c r="D88" i="66"/>
  <c r="E88" i="66"/>
  <c r="G88" i="66"/>
  <c r="A89" i="66"/>
  <c r="B89" i="66"/>
  <c r="C89" i="66"/>
  <c r="D89" i="66"/>
  <c r="E89" i="66"/>
  <c r="G89" i="66"/>
  <c r="A90" i="66"/>
  <c r="B90" i="66"/>
  <c r="C90" i="66"/>
  <c r="D90" i="66"/>
  <c r="E90" i="66"/>
  <c r="G90" i="66"/>
  <c r="A91" i="66"/>
  <c r="B91" i="66"/>
  <c r="C91" i="66"/>
  <c r="D91" i="66"/>
  <c r="E91" i="66"/>
  <c r="G91" i="66"/>
  <c r="A92" i="66"/>
  <c r="B92" i="66"/>
  <c r="C92" i="66"/>
  <c r="D92" i="66"/>
  <c r="E92" i="66"/>
  <c r="G92" i="66"/>
  <c r="A93" i="66"/>
  <c r="B93" i="66"/>
  <c r="C93" i="66"/>
  <c r="D93" i="66"/>
  <c r="E93" i="66"/>
  <c r="G93" i="66"/>
  <c r="A94" i="66"/>
  <c r="B94" i="66"/>
  <c r="C94" i="66"/>
  <c r="D94" i="66"/>
  <c r="E94" i="66"/>
  <c r="G94" i="66"/>
  <c r="A95" i="66"/>
  <c r="B95" i="66"/>
  <c r="C95" i="66"/>
  <c r="D95" i="66"/>
  <c r="E95" i="66"/>
  <c r="G95" i="66"/>
  <c r="A96" i="66"/>
  <c r="B96" i="66"/>
  <c r="C96" i="66"/>
  <c r="D96" i="66"/>
  <c r="E96" i="66"/>
  <c r="G96" i="66"/>
  <c r="A97" i="66"/>
  <c r="B97" i="66"/>
  <c r="C97" i="66"/>
  <c r="D97" i="66"/>
  <c r="E97" i="66"/>
  <c r="G97" i="66"/>
  <c r="A98" i="66"/>
  <c r="B98" i="66"/>
  <c r="C98" i="66"/>
  <c r="D98" i="66"/>
  <c r="E98" i="66"/>
  <c r="G98" i="66"/>
  <c r="A99" i="66"/>
  <c r="B99" i="66"/>
  <c r="C99" i="66"/>
  <c r="D99" i="66"/>
  <c r="E99" i="66"/>
  <c r="G99" i="66"/>
  <c r="A100" i="66"/>
  <c r="B100" i="66"/>
  <c r="C100" i="66"/>
  <c r="D100" i="66"/>
  <c r="E100" i="66"/>
  <c r="G100" i="66"/>
  <c r="A101" i="66"/>
  <c r="B101" i="66"/>
  <c r="C101" i="66"/>
  <c r="D101" i="66"/>
  <c r="E101" i="66"/>
  <c r="G101" i="66"/>
  <c r="A102" i="66"/>
  <c r="B102" i="66"/>
  <c r="C102" i="66"/>
  <c r="D102" i="66"/>
  <c r="E102" i="66"/>
  <c r="G102" i="66"/>
  <c r="A103" i="66"/>
  <c r="B103" i="66"/>
  <c r="C103" i="66"/>
  <c r="D103" i="66"/>
  <c r="E103" i="66"/>
  <c r="G103" i="66"/>
  <c r="A104" i="66"/>
  <c r="B104" i="66"/>
  <c r="C104" i="66"/>
  <c r="D104" i="66"/>
  <c r="E104" i="66"/>
  <c r="G104" i="66"/>
  <c r="A105" i="66"/>
  <c r="B105" i="66"/>
  <c r="C105" i="66"/>
  <c r="D105" i="66"/>
  <c r="E105" i="66"/>
  <c r="G105" i="66"/>
  <c r="B107" i="66"/>
  <c r="C107" i="66"/>
  <c r="D107" i="66"/>
  <c r="E107" i="66"/>
  <c r="G107" i="66"/>
  <c r="B110" i="66"/>
  <c r="C110" i="66"/>
  <c r="D110" i="66"/>
  <c r="E110" i="66"/>
  <c r="C111" i="66"/>
  <c r="D111" i="66"/>
  <c r="E111" i="66"/>
  <c r="B112" i="66"/>
  <c r="C112" i="66"/>
  <c r="D112" i="66"/>
  <c r="E112" i="66"/>
  <c r="G112" i="66"/>
  <c r="B114" i="66"/>
  <c r="C114" i="66"/>
  <c r="D114" i="66"/>
  <c r="E114" i="66"/>
  <c r="G114" i="66"/>
  <c r="G115" i="66"/>
  <c r="D116" i="66"/>
  <c r="E116" i="66"/>
  <c r="G116" i="66"/>
  <c r="B117" i="66"/>
  <c r="C117" i="66"/>
  <c r="D117" i="66"/>
  <c r="E117" i="66"/>
  <c r="G117" i="66"/>
  <c r="G121" i="66"/>
  <c r="G123" i="66"/>
  <c r="B131" i="66"/>
  <c r="C131" i="66"/>
  <c r="D131" i="66"/>
  <c r="E131" i="66"/>
  <c r="B134" i="66"/>
  <c r="C134" i="66"/>
  <c r="D134" i="66"/>
  <c r="E134" i="66"/>
  <c r="C135" i="66"/>
  <c r="D135" i="66"/>
  <c r="E135" i="66"/>
  <c r="B136" i="66"/>
  <c r="C136" i="66"/>
  <c r="D136" i="66"/>
  <c r="E136" i="66"/>
  <c r="G136" i="66"/>
  <c r="B137" i="66"/>
  <c r="C137" i="66"/>
  <c r="D137" i="66"/>
  <c r="E137" i="66"/>
  <c r="B138" i="66"/>
  <c r="C138" i="66"/>
  <c r="D138" i="66"/>
  <c r="E138" i="66"/>
  <c r="G138" i="66"/>
  <c r="B139" i="66"/>
  <c r="C139" i="66"/>
  <c r="D139" i="66"/>
  <c r="E139" i="66"/>
  <c r="G139" i="66"/>
  <c r="B140" i="66"/>
  <c r="C140" i="66"/>
  <c r="D140" i="66"/>
  <c r="E140" i="66"/>
  <c r="G140" i="66"/>
  <c r="G143" i="66"/>
  <c r="G144" i="66"/>
  <c r="G146" i="66"/>
  <c r="D148" i="66"/>
  <c r="E148" i="66"/>
  <c r="G148" i="66"/>
  <c r="G149" i="66"/>
  <c r="B150" i="66"/>
  <c r="C150" i="66"/>
  <c r="D150" i="66"/>
  <c r="E150" i="66"/>
  <c r="G150" i="66"/>
  <c r="B151" i="66"/>
  <c r="C151" i="66"/>
  <c r="D151" i="66"/>
  <c r="E151" i="66"/>
  <c r="G151" i="66"/>
  <c r="B152" i="66"/>
  <c r="C152" i="66"/>
  <c r="D152" i="66"/>
  <c r="E152" i="66"/>
  <c r="G152" i="66"/>
  <c r="B154" i="66"/>
  <c r="C154" i="66"/>
  <c r="D154" i="66"/>
  <c r="E154" i="66"/>
  <c r="G154" i="66"/>
  <c r="G156" i="66"/>
  <c r="G157" i="66"/>
  <c r="G158" i="66"/>
  <c r="G159" i="66"/>
  <c r="G160" i="66"/>
  <c r="E10" i="49"/>
  <c r="B11" i="49"/>
  <c r="F11" i="49"/>
  <c r="E13" i="49"/>
  <c r="F13" i="49"/>
  <c r="J9" i="87"/>
  <c r="J13" i="87"/>
  <c r="C7" i="88"/>
  <c r="D7" i="88"/>
  <c r="E7" i="88"/>
  <c r="F7" i="88"/>
  <c r="G7" i="88"/>
  <c r="H7" i="88"/>
  <c r="I7" i="88"/>
  <c r="J10" i="88"/>
  <c r="C11" i="88"/>
  <c r="D11" i="88"/>
  <c r="E11" i="88"/>
  <c r="F11" i="88"/>
  <c r="I11" i="88"/>
  <c r="J2" i="82"/>
  <c r="I6" i="82"/>
  <c r="J6" i="82"/>
  <c r="K6" i="82"/>
  <c r="M6" i="82"/>
  <c r="A7" i="82"/>
  <c r="G7" i="82"/>
  <c r="I7" i="82"/>
  <c r="J7" i="82"/>
  <c r="K7" i="82"/>
  <c r="M7" i="82"/>
  <c r="A8" i="82"/>
  <c r="D8" i="82"/>
  <c r="G8" i="82"/>
  <c r="I8" i="82"/>
  <c r="J8" i="82"/>
  <c r="K8" i="82"/>
  <c r="M8" i="82"/>
  <c r="A9" i="82"/>
  <c r="D9" i="82"/>
  <c r="G9" i="82"/>
  <c r="I9" i="82"/>
  <c r="J9" i="82"/>
  <c r="K9" i="82"/>
  <c r="M9" i="82"/>
  <c r="A10" i="82"/>
  <c r="D10" i="82"/>
  <c r="G10" i="82"/>
  <c r="I10" i="82"/>
  <c r="J10" i="82"/>
  <c r="K10" i="82"/>
  <c r="M10" i="82"/>
  <c r="A11" i="82"/>
  <c r="D11" i="82"/>
  <c r="G11" i="82"/>
  <c r="I11" i="82"/>
  <c r="J11" i="82"/>
  <c r="K11" i="82"/>
  <c r="M11" i="82"/>
  <c r="A12" i="82"/>
  <c r="D12" i="82"/>
  <c r="G12" i="82"/>
  <c r="I12" i="82"/>
  <c r="J12" i="82"/>
  <c r="K12" i="82"/>
  <c r="M12" i="82"/>
  <c r="A13" i="82"/>
  <c r="D13" i="82"/>
  <c r="G13" i="82"/>
  <c r="I13" i="82"/>
  <c r="J13" i="82"/>
  <c r="K13" i="82"/>
  <c r="M13" i="82"/>
  <c r="A14" i="82"/>
  <c r="D14" i="82"/>
  <c r="G14" i="82"/>
  <c r="I14" i="82"/>
  <c r="J14" i="82"/>
  <c r="K14" i="82"/>
  <c r="M14" i="82"/>
  <c r="A15" i="82"/>
  <c r="D15" i="82"/>
  <c r="G15" i="82"/>
  <c r="I15" i="82"/>
  <c r="J15" i="82"/>
  <c r="K15" i="82"/>
  <c r="M15" i="82"/>
  <c r="A16" i="82"/>
  <c r="D16" i="82"/>
  <c r="G16" i="82"/>
  <c r="I16" i="82"/>
  <c r="J16" i="82"/>
  <c r="K16" i="82"/>
  <c r="M16" i="82"/>
  <c r="A17" i="82"/>
  <c r="D17" i="82"/>
  <c r="G17" i="82"/>
  <c r="I17" i="82"/>
  <c r="J17" i="82"/>
  <c r="K17" i="82"/>
  <c r="M17" i="82"/>
  <c r="A18" i="82"/>
  <c r="D18" i="82"/>
  <c r="G18" i="82"/>
  <c r="I18" i="82"/>
  <c r="J18" i="82"/>
  <c r="K18" i="82"/>
  <c r="M18" i="82"/>
  <c r="A19" i="82"/>
  <c r="D19" i="82"/>
  <c r="G19" i="82"/>
  <c r="I19" i="82"/>
  <c r="J19" i="82"/>
  <c r="K19" i="82"/>
  <c r="M19" i="82"/>
  <c r="A20" i="82"/>
  <c r="D20" i="82"/>
  <c r="G20" i="82"/>
  <c r="I20" i="82"/>
  <c r="J20" i="82"/>
  <c r="K20" i="82"/>
  <c r="M20" i="82"/>
  <c r="A21" i="82"/>
  <c r="D21" i="82"/>
  <c r="G21" i="82"/>
  <c r="I21" i="82"/>
  <c r="J21" i="82"/>
  <c r="K21" i="82"/>
  <c r="M21" i="82"/>
  <c r="A22" i="82"/>
  <c r="D22" i="82"/>
  <c r="G22" i="82"/>
  <c r="I22" i="82"/>
  <c r="J22" i="82"/>
  <c r="K22" i="82"/>
  <c r="M22" i="82"/>
  <c r="A23" i="82"/>
  <c r="D23" i="82"/>
  <c r="G23" i="82"/>
  <c r="I23" i="82"/>
  <c r="J23" i="82"/>
  <c r="K23" i="82"/>
  <c r="M23" i="82"/>
  <c r="A24" i="82"/>
  <c r="D24" i="82"/>
  <c r="G24" i="82"/>
  <c r="I24" i="82"/>
  <c r="J24" i="82"/>
  <c r="K24" i="82"/>
  <c r="M24" i="82"/>
  <c r="A25" i="82"/>
  <c r="D25" i="82"/>
  <c r="G25" i="82"/>
  <c r="I25" i="82"/>
  <c r="J25" i="82"/>
  <c r="K25" i="82"/>
  <c r="M25" i="82"/>
  <c r="E26" i="82"/>
  <c r="J26" i="82"/>
  <c r="K26" i="82"/>
  <c r="L26" i="82"/>
  <c r="M26" i="82"/>
  <c r="G32" i="82"/>
  <c r="J32" i="82"/>
  <c r="J34" i="82"/>
  <c r="J36" i="82"/>
  <c r="H2" i="81"/>
  <c r="B6" i="81"/>
  <c r="C6" i="81"/>
  <c r="G6" i="81"/>
  <c r="H6" i="81"/>
  <c r="I6" i="81"/>
  <c r="A7" i="81"/>
  <c r="B7" i="81"/>
  <c r="C7" i="81"/>
  <c r="E7" i="81"/>
  <c r="G7" i="81"/>
  <c r="H7" i="81"/>
  <c r="I7" i="81"/>
  <c r="A8" i="81"/>
  <c r="B8" i="81"/>
  <c r="C8" i="81"/>
  <c r="E8" i="81"/>
  <c r="G8" i="81"/>
  <c r="H8" i="81"/>
  <c r="I8" i="81"/>
  <c r="A9" i="81"/>
  <c r="B9" i="81"/>
  <c r="C9" i="81"/>
  <c r="E9" i="81"/>
  <c r="G9" i="81"/>
  <c r="H9" i="81"/>
  <c r="I9" i="81"/>
  <c r="A10" i="81"/>
  <c r="B10" i="81"/>
  <c r="C10" i="81"/>
  <c r="E10" i="81"/>
  <c r="G10" i="81"/>
  <c r="H10" i="81"/>
  <c r="I10" i="81"/>
  <c r="A11" i="81"/>
  <c r="B11" i="81"/>
  <c r="C11" i="81"/>
  <c r="E11" i="81"/>
  <c r="G11" i="81"/>
  <c r="H11" i="81"/>
  <c r="I11" i="81"/>
  <c r="A12" i="81"/>
  <c r="B12" i="81"/>
  <c r="C12" i="81"/>
  <c r="E12" i="81"/>
  <c r="G12" i="81"/>
  <c r="H12" i="81"/>
  <c r="I12" i="81"/>
  <c r="A13" i="81"/>
  <c r="B13" i="81"/>
  <c r="C13" i="81"/>
  <c r="E13" i="81"/>
  <c r="G13" i="81"/>
  <c r="H13" i="81"/>
  <c r="I13" i="81"/>
  <c r="A14" i="81"/>
  <c r="B14" i="81"/>
  <c r="C14" i="81"/>
  <c r="E14" i="81"/>
  <c r="G14" i="81"/>
  <c r="H14" i="81"/>
  <c r="I14" i="81"/>
  <c r="A15" i="81"/>
  <c r="B15" i="81"/>
  <c r="C15" i="81"/>
  <c r="E15" i="81"/>
  <c r="G15" i="81"/>
  <c r="H15" i="81"/>
  <c r="I15" i="81"/>
  <c r="A16" i="81"/>
  <c r="B16" i="81"/>
  <c r="C16" i="81"/>
  <c r="E16" i="81"/>
  <c r="G16" i="81"/>
  <c r="H16" i="81"/>
  <c r="I16" i="81"/>
  <c r="A17" i="81"/>
  <c r="B17" i="81"/>
  <c r="C17" i="81"/>
  <c r="E17" i="81"/>
  <c r="G17" i="81"/>
  <c r="H17" i="81"/>
  <c r="I17" i="81"/>
  <c r="A18" i="81"/>
  <c r="B18" i="81"/>
  <c r="C18" i="81"/>
  <c r="E18" i="81"/>
  <c r="G18" i="81"/>
  <c r="H18" i="81"/>
  <c r="I18" i="81"/>
  <c r="A19" i="81"/>
  <c r="B19" i="81"/>
  <c r="C19" i="81"/>
  <c r="E19" i="81"/>
  <c r="G19" i="81"/>
  <c r="H19" i="81"/>
  <c r="I19" i="81"/>
  <c r="A20" i="81"/>
  <c r="B20" i="81"/>
  <c r="C20" i="81"/>
  <c r="E20" i="81"/>
  <c r="G20" i="81"/>
  <c r="H20" i="81"/>
  <c r="I20" i="81"/>
  <c r="A21" i="81"/>
  <c r="B21" i="81"/>
  <c r="C21" i="81"/>
  <c r="E21" i="81"/>
  <c r="G21" i="81"/>
  <c r="H21" i="81"/>
  <c r="I21" i="81"/>
  <c r="A22" i="81"/>
  <c r="B22" i="81"/>
  <c r="C22" i="81"/>
  <c r="E22" i="81"/>
  <c r="G22" i="81"/>
  <c r="H22" i="81"/>
  <c r="I22" i="81"/>
  <c r="A23" i="81"/>
  <c r="B23" i="81"/>
  <c r="C23" i="81"/>
  <c r="E23" i="81"/>
  <c r="G23" i="81"/>
  <c r="H23" i="81"/>
  <c r="I23" i="81"/>
  <c r="A24" i="81"/>
  <c r="B24" i="81"/>
  <c r="C24" i="81"/>
  <c r="E24" i="81"/>
  <c r="G24" i="81"/>
  <c r="H24" i="81"/>
  <c r="I24" i="81"/>
  <c r="A25" i="81"/>
  <c r="B25" i="81"/>
  <c r="C25" i="81"/>
  <c r="E25" i="81"/>
  <c r="G25" i="81"/>
  <c r="H25" i="81"/>
  <c r="I25" i="81"/>
  <c r="A26" i="81"/>
  <c r="B26" i="81"/>
  <c r="C26" i="81"/>
  <c r="E26" i="81"/>
  <c r="G26" i="81"/>
  <c r="H26" i="81"/>
  <c r="I26" i="81"/>
  <c r="A27" i="81"/>
  <c r="B27" i="81"/>
  <c r="C27" i="81"/>
  <c r="E27" i="81"/>
  <c r="G27" i="81"/>
  <c r="H27" i="81"/>
  <c r="I27" i="81"/>
  <c r="A28" i="81"/>
  <c r="B28" i="81"/>
  <c r="C28" i="81"/>
  <c r="E28" i="81"/>
  <c r="G28" i="81"/>
  <c r="H28" i="81"/>
  <c r="I28" i="81"/>
  <c r="A29" i="81"/>
  <c r="B29" i="81"/>
  <c r="C29" i="81"/>
  <c r="E29" i="81"/>
  <c r="G29" i="81"/>
  <c r="H29" i="81"/>
  <c r="I29" i="81"/>
  <c r="A30" i="81"/>
  <c r="B30" i="81"/>
  <c r="C30" i="81"/>
  <c r="E30" i="81"/>
  <c r="G30" i="81"/>
  <c r="H30" i="81"/>
  <c r="I30" i="81"/>
  <c r="A31" i="81"/>
  <c r="B31" i="81"/>
  <c r="C31" i="81"/>
  <c r="E31" i="81"/>
  <c r="G31" i="81"/>
  <c r="H31" i="81"/>
  <c r="I31" i="81"/>
  <c r="A32" i="81"/>
  <c r="B32" i="81"/>
  <c r="C32" i="81"/>
  <c r="E32" i="81"/>
  <c r="G32" i="81"/>
  <c r="H32" i="81"/>
  <c r="I32" i="81"/>
  <c r="A33" i="81"/>
  <c r="B33" i="81"/>
  <c r="C33" i="81"/>
  <c r="E33" i="81"/>
  <c r="G33" i="81"/>
  <c r="H33" i="81"/>
  <c r="I33" i="81"/>
  <c r="A34" i="81"/>
  <c r="B34" i="81"/>
  <c r="C34" i="81"/>
  <c r="E34" i="81"/>
  <c r="G34" i="81"/>
  <c r="H34" i="81"/>
  <c r="I34" i="81"/>
  <c r="A35" i="81"/>
  <c r="B35" i="81"/>
  <c r="C35" i="81"/>
  <c r="E35" i="81"/>
  <c r="G35" i="81"/>
  <c r="H35" i="81"/>
  <c r="I35" i="81"/>
  <c r="A36" i="81"/>
  <c r="B36" i="81"/>
  <c r="C36" i="81"/>
  <c r="E36" i="81"/>
  <c r="G36" i="81"/>
  <c r="H36" i="81"/>
  <c r="I36" i="81"/>
  <c r="H37" i="81"/>
  <c r="H41" i="81"/>
  <c r="H43" i="81"/>
  <c r="E43" i="81" s="1"/>
  <c r="H45" i="81"/>
  <c r="H47" i="81"/>
  <c r="J2" i="92"/>
  <c r="E6" i="92"/>
  <c r="I6" i="92"/>
  <c r="J6" i="92"/>
  <c r="K6" i="92"/>
  <c r="N6" i="92"/>
  <c r="P6" i="92"/>
  <c r="A7" i="92"/>
  <c r="E7" i="92"/>
  <c r="H7" i="92"/>
  <c r="I7" i="92"/>
  <c r="J7" i="92"/>
  <c r="K7" i="92"/>
  <c r="N7" i="92"/>
  <c r="P7" i="92"/>
  <c r="A8" i="92"/>
  <c r="E8" i="92"/>
  <c r="H8" i="92"/>
  <c r="I8" i="92"/>
  <c r="J8" i="92"/>
  <c r="K8" i="92"/>
  <c r="A9" i="92"/>
  <c r="E9" i="92"/>
  <c r="H9" i="92"/>
  <c r="I9" i="92"/>
  <c r="J9" i="92"/>
  <c r="K9" i="92"/>
  <c r="A10" i="92"/>
  <c r="E10" i="92"/>
  <c r="H10" i="92"/>
  <c r="I10" i="92"/>
  <c r="J10" i="92"/>
  <c r="K10" i="92"/>
  <c r="A11" i="92"/>
  <c r="E11" i="92"/>
  <c r="H11" i="92"/>
  <c r="I11" i="92"/>
  <c r="J11" i="92"/>
  <c r="K11" i="92"/>
  <c r="A12" i="92"/>
  <c r="E12" i="92"/>
  <c r="H12" i="92"/>
  <c r="I12" i="92"/>
  <c r="J12" i="92"/>
  <c r="K12" i="92"/>
  <c r="A13" i="92"/>
  <c r="E13" i="92"/>
  <c r="H13" i="92"/>
  <c r="I13" i="92"/>
  <c r="J13" i="92"/>
  <c r="K13" i="92"/>
  <c r="A14" i="92"/>
  <c r="E14" i="92"/>
  <c r="H14" i="92"/>
  <c r="I14" i="92"/>
  <c r="J14" i="92"/>
  <c r="K14" i="92"/>
  <c r="A15" i="92"/>
  <c r="E15" i="92"/>
  <c r="H15" i="92"/>
  <c r="I15" i="92"/>
  <c r="J15" i="92"/>
  <c r="K15" i="92"/>
  <c r="A16" i="92"/>
  <c r="E16" i="92"/>
  <c r="H16" i="92"/>
  <c r="I16" i="92"/>
  <c r="J16" i="92"/>
  <c r="K16" i="92"/>
  <c r="A17" i="92"/>
  <c r="E17" i="92"/>
  <c r="H17" i="92"/>
  <c r="I17" i="92"/>
  <c r="J17" i="92"/>
  <c r="K17" i="92"/>
  <c r="A18" i="92"/>
  <c r="E18" i="92"/>
  <c r="H18" i="92"/>
  <c r="I18" i="92"/>
  <c r="J18" i="92"/>
  <c r="K18" i="92"/>
  <c r="A19" i="92"/>
  <c r="E19" i="92"/>
  <c r="H19" i="92"/>
  <c r="I19" i="92"/>
  <c r="J19" i="92"/>
  <c r="K19" i="92"/>
  <c r="A20" i="92"/>
  <c r="E20" i="92"/>
  <c r="H20" i="92"/>
  <c r="I20" i="92"/>
  <c r="J20" i="92"/>
  <c r="K20" i="92"/>
  <c r="A21" i="92"/>
  <c r="E21" i="92"/>
  <c r="H21" i="92"/>
  <c r="I21" i="92"/>
  <c r="J21" i="92"/>
  <c r="K21" i="92"/>
  <c r="A22" i="92"/>
  <c r="E22" i="92"/>
  <c r="H22" i="92"/>
  <c r="I22" i="92"/>
  <c r="J22" i="92"/>
  <c r="K22" i="92"/>
  <c r="A23" i="92"/>
  <c r="E23" i="92"/>
  <c r="H23" i="92"/>
  <c r="I23" i="92"/>
  <c r="J23" i="92"/>
  <c r="K23" i="92"/>
  <c r="A24" i="92"/>
  <c r="E24" i="92"/>
  <c r="H24" i="92"/>
  <c r="I24" i="92"/>
  <c r="J24" i="92"/>
  <c r="K24" i="92"/>
  <c r="A25" i="92"/>
  <c r="E25" i="92"/>
  <c r="H25" i="92"/>
  <c r="I25" i="92"/>
  <c r="J25" i="92"/>
  <c r="K25" i="92"/>
  <c r="A26" i="92"/>
  <c r="E26" i="92"/>
  <c r="H26" i="92"/>
  <c r="I26" i="92"/>
  <c r="J26" i="92"/>
  <c r="K26" i="92"/>
  <c r="A27" i="92"/>
  <c r="E27" i="92"/>
  <c r="H27" i="92"/>
  <c r="I27" i="92"/>
  <c r="J27" i="92"/>
  <c r="K27" i="92"/>
  <c r="A28" i="92"/>
  <c r="E28" i="92"/>
  <c r="H28" i="92"/>
  <c r="I28" i="92"/>
  <c r="J28" i="92"/>
  <c r="K28" i="92"/>
  <c r="A29" i="92"/>
  <c r="E29" i="92"/>
  <c r="H29" i="92"/>
  <c r="I29" i="92"/>
  <c r="J29" i="92"/>
  <c r="K29" i="92"/>
  <c r="A30" i="92"/>
  <c r="E30" i="92"/>
  <c r="H30" i="92"/>
  <c r="I30" i="92"/>
  <c r="J30" i="92"/>
  <c r="K30" i="92"/>
  <c r="A31" i="92"/>
  <c r="E31" i="92"/>
  <c r="H31" i="92"/>
  <c r="I31" i="92"/>
  <c r="J31" i="92"/>
  <c r="K31" i="92"/>
  <c r="A32" i="92"/>
  <c r="E32" i="92"/>
  <c r="H32" i="92"/>
  <c r="I32" i="92"/>
  <c r="J32" i="92"/>
  <c r="K32" i="92"/>
  <c r="A33" i="92"/>
  <c r="E33" i="92"/>
  <c r="H33" i="92"/>
  <c r="I33" i="92"/>
  <c r="J33" i="92"/>
  <c r="K33" i="92"/>
  <c r="A34" i="92"/>
  <c r="E34" i="92"/>
  <c r="H34" i="92"/>
  <c r="I34" i="92"/>
  <c r="J34" i="92"/>
  <c r="K34" i="92"/>
  <c r="A35" i="92"/>
  <c r="E35" i="92"/>
  <c r="H35" i="92"/>
  <c r="I35" i="92"/>
  <c r="J35" i="92"/>
  <c r="K35" i="92"/>
  <c r="A36" i="92"/>
  <c r="E36" i="92"/>
  <c r="H36" i="92"/>
  <c r="I36" i="92"/>
  <c r="J36" i="92"/>
  <c r="K36" i="92"/>
  <c r="J37" i="92"/>
  <c r="G43" i="92"/>
  <c r="J43" i="92"/>
  <c r="J45" i="92"/>
  <c r="J47" i="92"/>
  <c r="C2" i="93"/>
  <c r="C6" i="93"/>
  <c r="G6" i="93"/>
  <c r="A7" i="93"/>
  <c r="C7" i="93"/>
  <c r="K7" i="93"/>
  <c r="M7" i="93"/>
  <c r="N7" i="93"/>
  <c r="A8" i="93"/>
  <c r="C8" i="93"/>
  <c r="K8" i="93"/>
  <c r="M8" i="93"/>
  <c r="N8" i="93"/>
  <c r="A9" i="93"/>
  <c r="C9" i="93"/>
  <c r="A10" i="93"/>
  <c r="C10" i="93"/>
  <c r="A11" i="93"/>
  <c r="C11" i="93"/>
  <c r="A12" i="93"/>
  <c r="C12" i="93"/>
  <c r="A13" i="93"/>
  <c r="C13" i="93"/>
  <c r="A14" i="93"/>
  <c r="C14" i="93"/>
  <c r="A15" i="93"/>
  <c r="C15" i="93"/>
  <c r="A16" i="93"/>
  <c r="C16" i="93"/>
  <c r="A17" i="93"/>
  <c r="C17" i="93"/>
  <c r="A18" i="93"/>
  <c r="C18" i="93"/>
  <c r="A19" i="93"/>
  <c r="C19" i="93"/>
  <c r="A20" i="93"/>
  <c r="C20" i="93"/>
  <c r="A21" i="93"/>
  <c r="C21" i="93"/>
  <c r="A22" i="93"/>
  <c r="C22" i="93"/>
  <c r="A23" i="93"/>
  <c r="C23" i="93"/>
  <c r="A24" i="93"/>
  <c r="C24" i="93"/>
  <c r="A25" i="93"/>
  <c r="C25" i="93"/>
  <c r="A26" i="93"/>
  <c r="C26" i="93"/>
  <c r="A27" i="93"/>
  <c r="C27" i="93"/>
  <c r="A28" i="93"/>
  <c r="C28" i="93"/>
  <c r="A29" i="93"/>
  <c r="C29" i="93"/>
  <c r="A30" i="93"/>
  <c r="C30" i="93"/>
  <c r="A31" i="93"/>
  <c r="C31" i="93"/>
  <c r="A32" i="93"/>
  <c r="C32" i="93"/>
  <c r="A33" i="93"/>
  <c r="C33" i="93"/>
  <c r="A34" i="93"/>
  <c r="C34" i="93"/>
  <c r="A35" i="93"/>
  <c r="C35" i="93"/>
  <c r="A36" i="93"/>
  <c r="C36" i="93"/>
  <c r="B39" i="93"/>
  <c r="B40" i="93"/>
  <c r="A41" i="93"/>
  <c r="B41" i="93"/>
  <c r="C41" i="93"/>
  <c r="A42" i="93"/>
  <c r="B42" i="93"/>
  <c r="C42" i="93"/>
  <c r="A43" i="93"/>
  <c r="B43" i="93"/>
  <c r="C43" i="93"/>
  <c r="A44" i="93"/>
  <c r="B44" i="93"/>
  <c r="C44" i="93"/>
  <c r="A45" i="93"/>
  <c r="B45" i="93"/>
  <c r="C45" i="93"/>
  <c r="A46" i="93"/>
  <c r="B46" i="93"/>
  <c r="C46" i="93"/>
  <c r="A47" i="93"/>
  <c r="B47" i="93"/>
  <c r="C47" i="93"/>
  <c r="A48" i="93"/>
  <c r="B48" i="93"/>
  <c r="C48" i="93"/>
  <c r="A49" i="93"/>
  <c r="B49" i="93"/>
  <c r="C49" i="93"/>
  <c r="A50" i="93"/>
  <c r="B50" i="93"/>
  <c r="C50" i="93"/>
  <c r="A51" i="93"/>
  <c r="B51" i="93"/>
  <c r="C51" i="93"/>
  <c r="A52" i="93"/>
  <c r="B52" i="93"/>
  <c r="C52" i="93"/>
  <c r="A53" i="93"/>
  <c r="B53" i="93"/>
  <c r="C53" i="93"/>
  <c r="A54" i="93"/>
  <c r="B54" i="93"/>
  <c r="C54" i="93"/>
  <c r="A55" i="93"/>
  <c r="B55" i="93"/>
  <c r="C55" i="93"/>
  <c r="A56" i="93"/>
  <c r="B56" i="93"/>
  <c r="C56" i="93"/>
  <c r="A57" i="93"/>
  <c r="B57" i="93"/>
  <c r="C57" i="93"/>
  <c r="A58" i="93"/>
  <c r="B58" i="93"/>
  <c r="C58" i="93"/>
  <c r="A59" i="93"/>
  <c r="B59" i="93"/>
  <c r="C59" i="93"/>
  <c r="A60" i="93"/>
  <c r="B60" i="93"/>
  <c r="C60" i="93"/>
  <c r="A61" i="93"/>
  <c r="B61" i="93"/>
  <c r="C61" i="93"/>
  <c r="A62" i="93"/>
  <c r="B62" i="93"/>
  <c r="C62" i="93"/>
  <c r="A63" i="93"/>
  <c r="B63" i="93"/>
  <c r="C63" i="93"/>
  <c r="A64" i="93"/>
  <c r="B64" i="93"/>
  <c r="C64" i="93"/>
  <c r="A65" i="93"/>
  <c r="B65" i="93"/>
  <c r="C65" i="93"/>
  <c r="A66" i="93"/>
  <c r="B66" i="93"/>
  <c r="C66" i="93"/>
  <c r="A67" i="93"/>
  <c r="B67" i="93"/>
  <c r="C67" i="93"/>
  <c r="A68" i="93"/>
  <c r="B68" i="93"/>
  <c r="C68" i="93"/>
  <c r="A69" i="93"/>
  <c r="B69" i="93"/>
  <c r="C69" i="93"/>
  <c r="A70" i="93"/>
  <c r="B70" i="93"/>
  <c r="C70" i="93"/>
  <c r="A71" i="93"/>
  <c r="B71" i="93"/>
  <c r="C71" i="93"/>
  <c r="B72" i="93"/>
  <c r="C72" i="93"/>
  <c r="B75" i="93"/>
  <c r="B76" i="93"/>
  <c r="C76" i="93"/>
  <c r="B77" i="93"/>
  <c r="C77" i="93"/>
  <c r="C78" i="93"/>
  <c r="B79" i="93"/>
  <c r="B87" i="93" s="1"/>
  <c r="C87" i="93" s="1"/>
  <c r="C79" i="93"/>
  <c r="C81" i="93"/>
  <c r="C83" i="93"/>
  <c r="B85" i="93"/>
  <c r="C85" i="93"/>
  <c r="J2" i="86"/>
  <c r="K3" i="86"/>
  <c r="B6" i="86"/>
  <c r="E6" i="86"/>
  <c r="I6" i="86"/>
  <c r="J6" i="86"/>
  <c r="J37" i="86" s="1"/>
  <c r="J45" i="86" s="1"/>
  <c r="K6" i="86"/>
  <c r="A7" i="86"/>
  <c r="B7" i="86"/>
  <c r="E7" i="86"/>
  <c r="H7" i="86"/>
  <c r="I7" i="86"/>
  <c r="J7" i="86"/>
  <c r="K7" i="86"/>
  <c r="A8" i="86"/>
  <c r="B8" i="86"/>
  <c r="E8" i="86"/>
  <c r="H8" i="86"/>
  <c r="I8" i="86"/>
  <c r="J8" i="86"/>
  <c r="K8" i="86"/>
  <c r="A9" i="86"/>
  <c r="B9" i="86"/>
  <c r="E9" i="86"/>
  <c r="H9" i="86"/>
  <c r="I9" i="86"/>
  <c r="J9" i="86"/>
  <c r="K9" i="86"/>
  <c r="A10" i="86"/>
  <c r="B10" i="86"/>
  <c r="E10" i="86"/>
  <c r="H10" i="86"/>
  <c r="I10" i="86"/>
  <c r="J10" i="86"/>
  <c r="K10" i="86"/>
  <c r="A11" i="86"/>
  <c r="B11" i="86"/>
  <c r="E11" i="86"/>
  <c r="H11" i="86"/>
  <c r="I11" i="86"/>
  <c r="J11" i="86"/>
  <c r="K11" i="86"/>
  <c r="A12" i="86"/>
  <c r="B12" i="86"/>
  <c r="E12" i="86"/>
  <c r="H12" i="86"/>
  <c r="I12" i="86"/>
  <c r="J12" i="86"/>
  <c r="K12" i="86"/>
  <c r="A13" i="86"/>
  <c r="B13" i="86"/>
  <c r="E13" i="86"/>
  <c r="H13" i="86"/>
  <c r="I13" i="86"/>
  <c r="J13" i="86"/>
  <c r="K13" i="86"/>
  <c r="A14" i="86"/>
  <c r="B14" i="86"/>
  <c r="E14" i="86"/>
  <c r="H14" i="86"/>
  <c r="I14" i="86"/>
  <c r="J14" i="86"/>
  <c r="K14" i="86"/>
  <c r="A15" i="86"/>
  <c r="B15" i="86"/>
  <c r="E15" i="86"/>
  <c r="H15" i="86"/>
  <c r="I15" i="86"/>
  <c r="J15" i="86"/>
  <c r="K15" i="86"/>
  <c r="A16" i="86"/>
  <c r="B16" i="86"/>
  <c r="E16" i="86"/>
  <c r="H16" i="86"/>
  <c r="I16" i="86"/>
  <c r="J16" i="86"/>
  <c r="K16" i="86"/>
  <c r="A17" i="86"/>
  <c r="B17" i="86"/>
  <c r="E17" i="86"/>
  <c r="H17" i="86"/>
  <c r="I17" i="86"/>
  <c r="J17" i="86"/>
  <c r="K17" i="86"/>
  <c r="A18" i="86"/>
  <c r="B18" i="86"/>
  <c r="E18" i="86"/>
  <c r="H18" i="86"/>
  <c r="I18" i="86"/>
  <c r="J18" i="86"/>
  <c r="K18" i="86"/>
  <c r="A19" i="86"/>
  <c r="B19" i="86"/>
  <c r="E19" i="86"/>
  <c r="H19" i="86"/>
  <c r="I19" i="86"/>
  <c r="J19" i="86"/>
  <c r="K19" i="86"/>
  <c r="A20" i="86"/>
  <c r="B20" i="86"/>
  <c r="E20" i="86"/>
  <c r="H20" i="86"/>
  <c r="I20" i="86"/>
  <c r="J20" i="86"/>
  <c r="K20" i="86"/>
  <c r="A21" i="86"/>
  <c r="B21" i="86"/>
  <c r="E21" i="86"/>
  <c r="H21" i="86"/>
  <c r="I21" i="86"/>
  <c r="J21" i="86"/>
  <c r="K21" i="86"/>
  <c r="A22" i="86"/>
  <c r="B22" i="86"/>
  <c r="E22" i="86"/>
  <c r="H22" i="86"/>
  <c r="I22" i="86"/>
  <c r="J22" i="86"/>
  <c r="K22" i="86"/>
  <c r="A23" i="86"/>
  <c r="B23" i="86"/>
  <c r="E23" i="86"/>
  <c r="H23" i="86"/>
  <c r="I23" i="86"/>
  <c r="J23" i="86"/>
  <c r="K23" i="86"/>
  <c r="A24" i="86"/>
  <c r="B24" i="86"/>
  <c r="E24" i="86"/>
  <c r="H24" i="86"/>
  <c r="I24" i="86"/>
  <c r="J24" i="86"/>
  <c r="K24" i="86"/>
  <c r="A25" i="86"/>
  <c r="B25" i="86"/>
  <c r="E25" i="86"/>
  <c r="H25" i="86"/>
  <c r="I25" i="86"/>
  <c r="J25" i="86"/>
  <c r="K25" i="86"/>
  <c r="A26" i="86"/>
  <c r="B26" i="86"/>
  <c r="E26" i="86"/>
  <c r="H26" i="86"/>
  <c r="I26" i="86"/>
  <c r="J26" i="86"/>
  <c r="K26" i="86"/>
  <c r="A27" i="86"/>
  <c r="B27" i="86"/>
  <c r="E27" i="86"/>
  <c r="H27" i="86"/>
  <c r="I27" i="86"/>
  <c r="J27" i="86"/>
  <c r="K27" i="86"/>
  <c r="A28" i="86"/>
  <c r="B28" i="86"/>
  <c r="E28" i="86"/>
  <c r="H28" i="86"/>
  <c r="I28" i="86"/>
  <c r="J28" i="86"/>
  <c r="K28" i="86"/>
  <c r="A29" i="86"/>
  <c r="B29" i="86"/>
  <c r="E29" i="86"/>
  <c r="H29" i="86"/>
  <c r="I29" i="86"/>
  <c r="J29" i="86"/>
  <c r="K29" i="86"/>
  <c r="A30" i="86"/>
  <c r="B30" i="86"/>
  <c r="E30" i="86"/>
  <c r="H30" i="86"/>
  <c r="I30" i="86"/>
  <c r="J30" i="86"/>
  <c r="K30" i="86"/>
  <c r="A31" i="86"/>
  <c r="B31" i="86"/>
  <c r="E31" i="86"/>
  <c r="H31" i="86"/>
  <c r="I31" i="86"/>
  <c r="J31" i="86"/>
  <c r="K31" i="86"/>
  <c r="A32" i="86"/>
  <c r="B32" i="86"/>
  <c r="E32" i="86"/>
  <c r="H32" i="86"/>
  <c r="I32" i="86"/>
  <c r="J32" i="86"/>
  <c r="K32" i="86"/>
  <c r="A33" i="86"/>
  <c r="B33" i="86"/>
  <c r="E33" i="86"/>
  <c r="H33" i="86"/>
  <c r="I33" i="86"/>
  <c r="J33" i="86"/>
  <c r="K33" i="86"/>
  <c r="A34" i="86"/>
  <c r="B34" i="86"/>
  <c r="E34" i="86"/>
  <c r="H34" i="86"/>
  <c r="I34" i="86"/>
  <c r="J34" i="86"/>
  <c r="K34" i="86"/>
  <c r="A35" i="86"/>
  <c r="B35" i="86"/>
  <c r="E35" i="86"/>
  <c r="H35" i="86"/>
  <c r="I35" i="86"/>
  <c r="J35" i="86"/>
  <c r="K35" i="86"/>
  <c r="A36" i="86"/>
  <c r="B36" i="86"/>
  <c r="E36" i="86"/>
  <c r="G23" i="70" s="1"/>
  <c r="H36" i="86"/>
  <c r="I36" i="86"/>
  <c r="J36" i="86"/>
  <c r="K36" i="86"/>
  <c r="J41" i="86"/>
  <c r="C16" i="73" s="1"/>
  <c r="D16" i="73" s="1"/>
  <c r="J43" i="86"/>
  <c r="G43" i="86" s="1"/>
  <c r="C2" i="89"/>
  <c r="C6" i="89"/>
  <c r="G6" i="89"/>
  <c r="L6" i="89"/>
  <c r="M6" i="89"/>
  <c r="N6" i="89"/>
  <c r="O6" i="89"/>
  <c r="A7" i="89"/>
  <c r="C7" i="89"/>
  <c r="A8" i="89"/>
  <c r="C8" i="89"/>
  <c r="A9" i="89"/>
  <c r="C9" i="89"/>
  <c r="A10" i="89"/>
  <c r="C10" i="89"/>
  <c r="A11" i="89"/>
  <c r="C11" i="89"/>
  <c r="A12" i="89"/>
  <c r="C12" i="89"/>
  <c r="A13" i="89"/>
  <c r="C13" i="89"/>
  <c r="A14" i="89"/>
  <c r="C14" i="89"/>
  <c r="A15" i="89"/>
  <c r="C15" i="89"/>
  <c r="A16" i="89"/>
  <c r="C16" i="89"/>
  <c r="A17" i="89"/>
  <c r="C17" i="89"/>
  <c r="A18" i="89"/>
  <c r="C18" i="89"/>
  <c r="A19" i="89"/>
  <c r="C19" i="89"/>
  <c r="A20" i="89"/>
  <c r="C20" i="89"/>
  <c r="A21" i="89"/>
  <c r="C21" i="89"/>
  <c r="A22" i="89"/>
  <c r="C22" i="89"/>
  <c r="A23" i="89"/>
  <c r="C23" i="89"/>
  <c r="A24" i="89"/>
  <c r="C24" i="89"/>
  <c r="A25" i="89"/>
  <c r="C25" i="89"/>
  <c r="A26" i="89"/>
  <c r="C26" i="89"/>
  <c r="A27" i="89"/>
  <c r="C27" i="89"/>
  <c r="A28" i="89"/>
  <c r="C28" i="89"/>
  <c r="A29" i="89"/>
  <c r="C29" i="89"/>
  <c r="A30" i="89"/>
  <c r="C30" i="89"/>
  <c r="A31" i="89"/>
  <c r="C31" i="89"/>
  <c r="A32" i="89"/>
  <c r="C32" i="89"/>
  <c r="A33" i="89"/>
  <c r="C33" i="89"/>
  <c r="A34" i="89"/>
  <c r="C34" i="89"/>
  <c r="A35" i="89"/>
  <c r="C35" i="89"/>
  <c r="A36" i="89"/>
  <c r="C36" i="89"/>
  <c r="B39" i="89"/>
  <c r="B40" i="89"/>
  <c r="A41" i="89"/>
  <c r="B41" i="89"/>
  <c r="C41" i="89"/>
  <c r="A42" i="89"/>
  <c r="B42" i="89"/>
  <c r="C42" i="89"/>
  <c r="A43" i="89"/>
  <c r="B43" i="89"/>
  <c r="C43" i="89"/>
  <c r="A44" i="89"/>
  <c r="B44" i="89"/>
  <c r="C44" i="89"/>
  <c r="A45" i="89"/>
  <c r="B45" i="89"/>
  <c r="C45" i="89"/>
  <c r="A46" i="89"/>
  <c r="B46" i="89"/>
  <c r="C46" i="89"/>
  <c r="A47" i="89"/>
  <c r="B47" i="89"/>
  <c r="C47" i="89"/>
  <c r="A48" i="89"/>
  <c r="B48" i="89"/>
  <c r="C48" i="89"/>
  <c r="A49" i="89"/>
  <c r="B49" i="89"/>
  <c r="C49" i="89"/>
  <c r="A50" i="89"/>
  <c r="B50" i="89"/>
  <c r="C50" i="89"/>
  <c r="A51" i="89"/>
  <c r="B51" i="89"/>
  <c r="C51" i="89"/>
  <c r="A52" i="89"/>
  <c r="B52" i="89"/>
  <c r="C52" i="89"/>
  <c r="A53" i="89"/>
  <c r="B53" i="89"/>
  <c r="C53" i="89"/>
  <c r="A54" i="89"/>
  <c r="B54" i="89"/>
  <c r="C54" i="89"/>
  <c r="A55" i="89"/>
  <c r="B55" i="89"/>
  <c r="C55" i="89"/>
  <c r="A56" i="89"/>
  <c r="B56" i="89"/>
  <c r="C56" i="89"/>
  <c r="A57" i="89"/>
  <c r="B57" i="89"/>
  <c r="C57" i="89"/>
  <c r="A58" i="89"/>
  <c r="B58" i="89"/>
  <c r="C58" i="89"/>
  <c r="A59" i="89"/>
  <c r="B59" i="89"/>
  <c r="C59" i="89"/>
  <c r="A60" i="89"/>
  <c r="B60" i="89"/>
  <c r="C60" i="89"/>
  <c r="A61" i="89"/>
  <c r="B61" i="89"/>
  <c r="C61" i="89"/>
  <c r="A62" i="89"/>
  <c r="B62" i="89"/>
  <c r="C62" i="89"/>
  <c r="A63" i="89"/>
  <c r="B63" i="89"/>
  <c r="C63" i="89"/>
  <c r="A64" i="89"/>
  <c r="B64" i="89"/>
  <c r="C64" i="89"/>
  <c r="A65" i="89"/>
  <c r="B65" i="89"/>
  <c r="C65" i="89"/>
  <c r="A66" i="89"/>
  <c r="B66" i="89"/>
  <c r="C66" i="89"/>
  <c r="A67" i="89"/>
  <c r="B67" i="89"/>
  <c r="C67" i="89"/>
  <c r="A68" i="89"/>
  <c r="B68" i="89"/>
  <c r="C68" i="89"/>
  <c r="A69" i="89"/>
  <c r="B69" i="89"/>
  <c r="C69" i="89"/>
  <c r="A70" i="89"/>
  <c r="B70" i="89"/>
  <c r="C70" i="89"/>
  <c r="A71" i="89"/>
  <c r="B71" i="89"/>
  <c r="C71" i="89"/>
  <c r="B72" i="89"/>
  <c r="C72" i="89"/>
  <c r="B75" i="89"/>
  <c r="C76" i="89"/>
  <c r="B77" i="89"/>
  <c r="C77" i="89"/>
  <c r="C78" i="89"/>
  <c r="B79" i="89"/>
  <c r="C79" i="89"/>
  <c r="C81" i="89"/>
  <c r="C83" i="89"/>
  <c r="B85" i="89"/>
  <c r="C85" i="89"/>
  <c r="B87" i="89"/>
  <c r="C87" i="89"/>
  <c r="J2" i="79"/>
  <c r="E6" i="79"/>
  <c r="I6" i="79"/>
  <c r="J6" i="79"/>
  <c r="K6" i="79"/>
  <c r="A7" i="79"/>
  <c r="E7" i="79"/>
  <c r="G7" i="79"/>
  <c r="I7" i="79"/>
  <c r="J7" i="79"/>
  <c r="K7" i="79"/>
  <c r="A8" i="79"/>
  <c r="E8" i="79"/>
  <c r="G8" i="79"/>
  <c r="I8" i="79"/>
  <c r="J8" i="79"/>
  <c r="K8" i="79"/>
  <c r="A9" i="79"/>
  <c r="E9" i="79"/>
  <c r="G9" i="79"/>
  <c r="I9" i="79"/>
  <c r="J9" i="79"/>
  <c r="K9" i="79"/>
  <c r="A10" i="79"/>
  <c r="E10" i="79"/>
  <c r="G10" i="79"/>
  <c r="I10" i="79"/>
  <c r="J10" i="79"/>
  <c r="K10" i="79"/>
  <c r="A11" i="79"/>
  <c r="E11" i="79"/>
  <c r="G11" i="79"/>
  <c r="I11" i="79"/>
  <c r="J11" i="79"/>
  <c r="K11" i="79"/>
  <c r="A12" i="79"/>
  <c r="E12" i="79"/>
  <c r="G12" i="79"/>
  <c r="I12" i="79"/>
  <c r="J12" i="79"/>
  <c r="K12" i="79"/>
  <c r="A13" i="79"/>
  <c r="E13" i="79"/>
  <c r="G13" i="79"/>
  <c r="I13" i="79"/>
  <c r="J13" i="79"/>
  <c r="K13" i="79"/>
  <c r="A14" i="79"/>
  <c r="E14" i="79"/>
  <c r="G14" i="79"/>
  <c r="I14" i="79"/>
  <c r="J14" i="79"/>
  <c r="K14" i="79"/>
  <c r="A15" i="79"/>
  <c r="E15" i="79"/>
  <c r="G15" i="79"/>
  <c r="I15" i="79"/>
  <c r="J15" i="79"/>
  <c r="K15" i="79"/>
  <c r="A16" i="79"/>
  <c r="E16" i="79"/>
  <c r="G16" i="79"/>
  <c r="I16" i="79"/>
  <c r="J16" i="79"/>
  <c r="K16" i="79"/>
  <c r="A17" i="79"/>
  <c r="E17" i="79"/>
  <c r="G17" i="79"/>
  <c r="I17" i="79"/>
  <c r="J17" i="79"/>
  <c r="K17" i="79"/>
  <c r="A18" i="79"/>
  <c r="E18" i="79"/>
  <c r="G18" i="79"/>
  <c r="I18" i="79"/>
  <c r="J18" i="79"/>
  <c r="K18" i="79"/>
  <c r="A19" i="79"/>
  <c r="E19" i="79"/>
  <c r="G19" i="79"/>
  <c r="I19" i="79"/>
  <c r="J19" i="79"/>
  <c r="K19" i="79"/>
  <c r="A20" i="79"/>
  <c r="E20" i="79"/>
  <c r="G20" i="79"/>
  <c r="I20" i="79"/>
  <c r="J20" i="79"/>
  <c r="K20" i="79"/>
  <c r="A21" i="79"/>
  <c r="E21" i="79"/>
  <c r="G21" i="79"/>
  <c r="I21" i="79"/>
  <c r="J21" i="79"/>
  <c r="K21" i="79"/>
  <c r="A22" i="79"/>
  <c r="E22" i="79"/>
  <c r="G22" i="79"/>
  <c r="I22" i="79"/>
  <c r="J22" i="79"/>
  <c r="K22" i="79"/>
  <c r="A23" i="79"/>
  <c r="E23" i="79"/>
  <c r="G23" i="79"/>
  <c r="I23" i="79"/>
  <c r="J23" i="79"/>
  <c r="K23" i="79"/>
  <c r="A24" i="79"/>
  <c r="E24" i="79"/>
  <c r="G24" i="79"/>
  <c r="I24" i="79"/>
  <c r="J24" i="79"/>
  <c r="K24" i="79"/>
  <c r="A25" i="79"/>
  <c r="E25" i="79"/>
  <c r="G25" i="79"/>
  <c r="I25" i="79"/>
  <c r="J25" i="79"/>
  <c r="K25" i="79"/>
  <c r="A26" i="79"/>
  <c r="E26" i="79"/>
  <c r="G26" i="79"/>
  <c r="I26" i="79"/>
  <c r="J26" i="79"/>
  <c r="K26" i="79"/>
  <c r="A27" i="79"/>
  <c r="E27" i="79"/>
  <c r="G27" i="79"/>
  <c r="I27" i="79"/>
  <c r="J27" i="79"/>
  <c r="K27" i="79"/>
  <c r="A28" i="79"/>
  <c r="E28" i="79"/>
  <c r="G28" i="79"/>
  <c r="I28" i="79"/>
  <c r="J28" i="79"/>
  <c r="K28" i="79"/>
  <c r="A29" i="79"/>
  <c r="E29" i="79"/>
  <c r="G29" i="79"/>
  <c r="I29" i="79"/>
  <c r="J29" i="79"/>
  <c r="K29" i="79"/>
  <c r="A30" i="79"/>
  <c r="E30" i="79"/>
  <c r="G30" i="79"/>
  <c r="I30" i="79"/>
  <c r="J30" i="79"/>
  <c r="K30" i="79"/>
  <c r="A31" i="79"/>
  <c r="E31" i="79"/>
  <c r="G31" i="79"/>
  <c r="I31" i="79"/>
  <c r="J31" i="79"/>
  <c r="K31" i="79"/>
  <c r="A32" i="79"/>
  <c r="E32" i="79"/>
  <c r="G32" i="79"/>
  <c r="I32" i="79"/>
  <c r="J32" i="79"/>
  <c r="K32" i="79"/>
  <c r="A33" i="79"/>
  <c r="E33" i="79"/>
  <c r="G33" i="79"/>
  <c r="I33" i="79"/>
  <c r="J33" i="79"/>
  <c r="K33" i="79"/>
  <c r="A34" i="79"/>
  <c r="E34" i="79"/>
  <c r="G34" i="79"/>
  <c r="I34" i="79"/>
  <c r="J34" i="79"/>
  <c r="K34" i="79"/>
  <c r="A35" i="79"/>
  <c r="E35" i="79"/>
  <c r="G35" i="79"/>
  <c r="I35" i="79"/>
  <c r="J35" i="79"/>
  <c r="K35" i="79"/>
  <c r="A36" i="79"/>
  <c r="E36" i="79"/>
  <c r="G36" i="79"/>
  <c r="I36" i="79"/>
  <c r="J36" i="79"/>
  <c r="K36" i="79"/>
  <c r="J37" i="79"/>
  <c r="G43" i="79"/>
  <c r="J43" i="79"/>
  <c r="J45" i="79"/>
  <c r="J47" i="79"/>
  <c r="C2" i="80"/>
  <c r="C6" i="80"/>
  <c r="G6" i="80"/>
  <c r="A7" i="80"/>
  <c r="C7" i="80"/>
  <c r="A8" i="80"/>
  <c r="C8" i="80"/>
  <c r="A9" i="80"/>
  <c r="C9" i="80"/>
  <c r="A10" i="80"/>
  <c r="C10" i="80"/>
  <c r="A11" i="80"/>
  <c r="C11" i="80"/>
  <c r="A12" i="80"/>
  <c r="C12" i="80"/>
  <c r="A13" i="80"/>
  <c r="C13" i="80"/>
  <c r="A14" i="80"/>
  <c r="C14" i="80"/>
  <c r="A15" i="80"/>
  <c r="C15" i="80"/>
  <c r="A16" i="80"/>
  <c r="C16" i="80"/>
  <c r="A17" i="80"/>
  <c r="C17" i="80"/>
  <c r="A18" i="80"/>
  <c r="C18" i="80"/>
  <c r="A19" i="80"/>
  <c r="C19" i="80"/>
  <c r="A20" i="80"/>
  <c r="C20" i="80"/>
  <c r="A21" i="80"/>
  <c r="C21" i="80"/>
  <c r="A22" i="80"/>
  <c r="C22" i="80"/>
  <c r="A23" i="80"/>
  <c r="C23" i="80"/>
  <c r="A24" i="80"/>
  <c r="C24" i="80"/>
  <c r="A25" i="80"/>
  <c r="C25" i="80"/>
  <c r="A26" i="80"/>
  <c r="C26" i="80"/>
  <c r="A27" i="80"/>
  <c r="C27" i="80"/>
  <c r="A28" i="80"/>
  <c r="C28" i="80"/>
  <c r="A29" i="80"/>
  <c r="C29" i="80"/>
  <c r="A30" i="80"/>
  <c r="C30" i="80"/>
  <c r="A31" i="80"/>
  <c r="C31" i="80"/>
  <c r="A32" i="80"/>
  <c r="C32" i="80"/>
  <c r="A33" i="80"/>
  <c r="C33" i="80"/>
  <c r="A34" i="80"/>
  <c r="C34" i="80"/>
  <c r="A35" i="80"/>
  <c r="C35" i="80"/>
  <c r="A36" i="80"/>
  <c r="C36" i="80"/>
  <c r="B40" i="80"/>
  <c r="A41" i="80"/>
  <c r="B41" i="80"/>
  <c r="C41" i="80"/>
  <c r="A42" i="80"/>
  <c r="B42" i="80"/>
  <c r="C42" i="80"/>
  <c r="A43" i="80"/>
  <c r="B43" i="80"/>
  <c r="C43" i="80"/>
  <c r="A44" i="80"/>
  <c r="B44" i="80"/>
  <c r="C44" i="80"/>
  <c r="A45" i="80"/>
  <c r="B45" i="80"/>
  <c r="C45" i="80"/>
  <c r="A46" i="80"/>
  <c r="B46" i="80"/>
  <c r="C46" i="80"/>
  <c r="A47" i="80"/>
  <c r="B47" i="80"/>
  <c r="C47" i="80"/>
  <c r="A48" i="80"/>
  <c r="B48" i="80"/>
  <c r="C48" i="80"/>
  <c r="A49" i="80"/>
  <c r="B49" i="80"/>
  <c r="C49" i="80"/>
  <c r="A50" i="80"/>
  <c r="B50" i="80"/>
  <c r="C50" i="80"/>
  <c r="A51" i="80"/>
  <c r="B51" i="80"/>
  <c r="C51" i="80"/>
  <c r="A52" i="80"/>
  <c r="B52" i="80"/>
  <c r="C52" i="80"/>
  <c r="A53" i="80"/>
  <c r="B53" i="80"/>
  <c r="C53" i="80"/>
  <c r="A54" i="80"/>
  <c r="B54" i="80"/>
  <c r="C54" i="80"/>
  <c r="A55" i="80"/>
  <c r="B55" i="80"/>
  <c r="C55" i="80"/>
  <c r="A56" i="80"/>
  <c r="B56" i="80"/>
  <c r="C56" i="80"/>
  <c r="A57" i="80"/>
  <c r="B57" i="80"/>
  <c r="C57" i="80"/>
  <c r="A58" i="80"/>
  <c r="B58" i="80"/>
  <c r="C58" i="80"/>
  <c r="A59" i="80"/>
  <c r="B59" i="80"/>
  <c r="C59" i="80"/>
  <c r="A60" i="80"/>
  <c r="B60" i="80"/>
  <c r="C60" i="80"/>
  <c r="A61" i="80"/>
  <c r="B61" i="80"/>
  <c r="C61" i="80"/>
  <c r="A62" i="80"/>
  <c r="B62" i="80"/>
  <c r="C62" i="80"/>
  <c r="A63" i="80"/>
  <c r="B63" i="80"/>
  <c r="C63" i="80"/>
  <c r="A64" i="80"/>
  <c r="B64" i="80"/>
  <c r="C64" i="80"/>
  <c r="A65" i="80"/>
  <c r="B65" i="80"/>
  <c r="C65" i="80"/>
  <c r="A66" i="80"/>
  <c r="B66" i="80"/>
  <c r="C66" i="80"/>
  <c r="A67" i="80"/>
  <c r="B67" i="80"/>
  <c r="C67" i="80"/>
  <c r="A68" i="80"/>
  <c r="B68" i="80"/>
  <c r="C68" i="80"/>
  <c r="A69" i="80"/>
  <c r="B69" i="80"/>
  <c r="C69" i="80"/>
  <c r="A70" i="80"/>
  <c r="B70" i="80"/>
  <c r="C70" i="80"/>
  <c r="A71" i="80"/>
  <c r="B71" i="80"/>
  <c r="C71" i="80"/>
  <c r="B72" i="80"/>
  <c r="C72" i="80"/>
  <c r="C76" i="80"/>
  <c r="B77" i="80"/>
  <c r="C77" i="80"/>
  <c r="C78" i="80"/>
  <c r="B79" i="80"/>
  <c r="C79" i="80"/>
  <c r="C81" i="80"/>
  <c r="B85" i="80"/>
  <c r="C85" i="80"/>
  <c r="B87" i="80"/>
  <c r="C87" i="80"/>
  <c r="E2" i="78"/>
  <c r="E6" i="78"/>
  <c r="I6" i="78"/>
  <c r="A7" i="78"/>
  <c r="E7" i="78"/>
  <c r="A8" i="78"/>
  <c r="E8" i="78"/>
  <c r="A9" i="78"/>
  <c r="E9" i="78"/>
  <c r="A10" i="78"/>
  <c r="E10" i="78"/>
  <c r="A11" i="78"/>
  <c r="E11" i="78"/>
  <c r="A12" i="78"/>
  <c r="E12" i="78"/>
  <c r="A13" i="78"/>
  <c r="E13" i="78"/>
  <c r="A14" i="78"/>
  <c r="E14" i="78"/>
  <c r="A15" i="78"/>
  <c r="E15" i="78"/>
  <c r="A16" i="78"/>
  <c r="E16" i="78"/>
  <c r="A17" i="78"/>
  <c r="E17" i="78"/>
  <c r="A18" i="78"/>
  <c r="E18" i="78"/>
  <c r="A19" i="78"/>
  <c r="E19" i="78"/>
  <c r="A20" i="78"/>
  <c r="E20" i="78"/>
  <c r="A21" i="78"/>
  <c r="E21" i="78"/>
  <c r="A22" i="78"/>
  <c r="E22" i="78"/>
  <c r="A23" i="78"/>
  <c r="E23" i="78"/>
  <c r="A24" i="78"/>
  <c r="E24" i="78"/>
  <c r="A25" i="78"/>
  <c r="E25" i="78"/>
  <c r="A26" i="78"/>
  <c r="E26" i="78"/>
  <c r="A27" i="78"/>
  <c r="E27" i="78"/>
  <c r="A28" i="78"/>
  <c r="E28" i="78"/>
  <c r="A29" i="78"/>
  <c r="E29" i="78"/>
  <c r="A30" i="78"/>
  <c r="E30" i="78"/>
  <c r="A31" i="78"/>
  <c r="E31" i="78"/>
  <c r="A32" i="78"/>
  <c r="E32" i="78"/>
  <c r="A33" i="78"/>
  <c r="E33" i="78"/>
  <c r="A34" i="78"/>
  <c r="E34" i="78"/>
  <c r="A35" i="78"/>
  <c r="E35" i="78"/>
  <c r="A36" i="78"/>
  <c r="E36" i="78"/>
  <c r="B39" i="78"/>
  <c r="C39" i="78"/>
  <c r="D39" i="78"/>
  <c r="B40" i="78"/>
  <c r="C40" i="78"/>
  <c r="D40" i="78"/>
  <c r="A41" i="78"/>
  <c r="B41" i="78"/>
  <c r="C41" i="78"/>
  <c r="D41" i="78"/>
  <c r="E41" i="78"/>
  <c r="A42" i="78"/>
  <c r="B42" i="78"/>
  <c r="C42" i="78"/>
  <c r="D42" i="78"/>
  <c r="E42" i="78"/>
  <c r="A43" i="78"/>
  <c r="B43" i="78"/>
  <c r="C43" i="78"/>
  <c r="D43" i="78"/>
  <c r="E43" i="78"/>
  <c r="A44" i="78"/>
  <c r="B44" i="78"/>
  <c r="C44" i="78"/>
  <c r="D44" i="78"/>
  <c r="E44" i="78"/>
  <c r="A45" i="78"/>
  <c r="B45" i="78"/>
  <c r="C45" i="78"/>
  <c r="D45" i="78"/>
  <c r="E45" i="78"/>
  <c r="A46" i="78"/>
  <c r="B46" i="78"/>
  <c r="C46" i="78"/>
  <c r="D46" i="78"/>
  <c r="E46" i="78"/>
  <c r="A47" i="78"/>
  <c r="B47" i="78"/>
  <c r="C47" i="78"/>
  <c r="D47" i="78"/>
  <c r="E47" i="78"/>
  <c r="A48" i="78"/>
  <c r="B48" i="78"/>
  <c r="C48" i="78"/>
  <c r="D48" i="78"/>
  <c r="E48" i="78"/>
  <c r="A49" i="78"/>
  <c r="B49" i="78"/>
  <c r="C49" i="78"/>
  <c r="D49" i="78"/>
  <c r="E49" i="78"/>
  <c r="A50" i="78"/>
  <c r="B50" i="78"/>
  <c r="C50" i="78"/>
  <c r="D50" i="78"/>
  <c r="E50" i="78"/>
  <c r="A51" i="78"/>
  <c r="B51" i="78"/>
  <c r="C51" i="78"/>
  <c r="D51" i="78"/>
  <c r="E51" i="78"/>
  <c r="A52" i="78"/>
  <c r="B52" i="78"/>
  <c r="C52" i="78"/>
  <c r="D52" i="78"/>
  <c r="E52" i="78"/>
  <c r="A53" i="78"/>
  <c r="B53" i="78"/>
  <c r="C53" i="78"/>
  <c r="D53" i="78"/>
  <c r="E53" i="78"/>
  <c r="A54" i="78"/>
  <c r="B54" i="78"/>
  <c r="C54" i="78"/>
  <c r="D54" i="78"/>
  <c r="E54" i="78"/>
  <c r="A55" i="78"/>
  <c r="B55" i="78"/>
  <c r="C55" i="78"/>
  <c r="D55" i="78"/>
  <c r="E55" i="78"/>
  <c r="A56" i="78"/>
  <c r="B56" i="78"/>
  <c r="C56" i="78"/>
  <c r="D56" i="78"/>
  <c r="E56" i="78"/>
  <c r="A57" i="78"/>
  <c r="B57" i="78"/>
  <c r="C57" i="78"/>
  <c r="D57" i="78"/>
  <c r="E57" i="78"/>
  <c r="A58" i="78"/>
  <c r="B58" i="78"/>
  <c r="C58" i="78"/>
  <c r="D58" i="78"/>
  <c r="E58" i="78"/>
  <c r="A59" i="78"/>
  <c r="B59" i="78"/>
  <c r="C59" i="78"/>
  <c r="D59" i="78"/>
  <c r="E59" i="78"/>
  <c r="A60" i="78"/>
  <c r="B60" i="78"/>
  <c r="C60" i="78"/>
  <c r="D60" i="78"/>
  <c r="E60" i="78"/>
  <c r="A61" i="78"/>
  <c r="B61" i="78"/>
  <c r="C61" i="78"/>
  <c r="D61" i="78"/>
  <c r="E61" i="78"/>
  <c r="A62" i="78"/>
  <c r="B62" i="78"/>
  <c r="C62" i="78"/>
  <c r="D62" i="78"/>
  <c r="E62" i="78"/>
  <c r="A63" i="78"/>
  <c r="B63" i="78"/>
  <c r="C63" i="78"/>
  <c r="D63" i="78"/>
  <c r="E63" i="78"/>
  <c r="A64" i="78"/>
  <c r="B64" i="78"/>
  <c r="C64" i="78"/>
  <c r="D64" i="78"/>
  <c r="E64" i="78"/>
  <c r="A65" i="78"/>
  <c r="B65" i="78"/>
  <c r="C65" i="78"/>
  <c r="D65" i="78"/>
  <c r="E65" i="78"/>
  <c r="A66" i="78"/>
  <c r="B66" i="78"/>
  <c r="C66" i="78"/>
  <c r="D66" i="78"/>
  <c r="E66" i="78"/>
  <c r="A67" i="78"/>
  <c r="B67" i="78"/>
  <c r="C67" i="78"/>
  <c r="D67" i="78"/>
  <c r="E67" i="78"/>
  <c r="A68" i="78"/>
  <c r="B68" i="78"/>
  <c r="C68" i="78"/>
  <c r="D68" i="78"/>
  <c r="E68" i="78"/>
  <c r="A69" i="78"/>
  <c r="B69" i="78"/>
  <c r="C69" i="78"/>
  <c r="D69" i="78"/>
  <c r="E69" i="78"/>
  <c r="A70" i="78"/>
  <c r="B70" i="78"/>
  <c r="C70" i="78"/>
  <c r="D70" i="78"/>
  <c r="E70" i="78"/>
  <c r="A71" i="78"/>
  <c r="B71" i="78"/>
  <c r="C71" i="78"/>
  <c r="D71" i="78"/>
  <c r="E71" i="78"/>
  <c r="B72" i="78"/>
  <c r="C72" i="78"/>
  <c r="D72" i="78"/>
  <c r="E72" i="78"/>
  <c r="B75" i="78"/>
  <c r="C75" i="78"/>
  <c r="D75" i="78"/>
  <c r="E76" i="78"/>
  <c r="B77" i="78"/>
  <c r="C77" i="78"/>
  <c r="D77" i="78"/>
  <c r="E77" i="78"/>
  <c r="E78" i="78"/>
  <c r="B79" i="78"/>
  <c r="C79" i="78"/>
  <c r="D79" i="78"/>
  <c r="E79" i="78"/>
  <c r="E81" i="78"/>
  <c r="B85" i="78"/>
  <c r="C85" i="78"/>
  <c r="D85" i="78"/>
  <c r="E85" i="78"/>
  <c r="B87" i="78"/>
  <c r="C87" i="78"/>
  <c r="D87" i="78"/>
  <c r="E87" i="78"/>
  <c r="J2" i="77"/>
  <c r="B6" i="77"/>
  <c r="E6" i="77"/>
  <c r="I6" i="77"/>
  <c r="J6" i="77"/>
  <c r="K6" i="77"/>
  <c r="A7" i="77"/>
  <c r="B7" i="77"/>
  <c r="E7" i="77"/>
  <c r="G7" i="77"/>
  <c r="I7" i="77"/>
  <c r="A8" i="77"/>
  <c r="B8" i="77"/>
  <c r="E8" i="77"/>
  <c r="G8" i="77"/>
  <c r="I8" i="77"/>
  <c r="J8" i="77"/>
  <c r="A9" i="77"/>
  <c r="B9" i="77"/>
  <c r="E9" i="77"/>
  <c r="G9" i="77"/>
  <c r="I9" i="77"/>
  <c r="J9" i="77"/>
  <c r="K9" i="77"/>
  <c r="A10" i="77"/>
  <c r="B10" i="77"/>
  <c r="E10" i="77"/>
  <c r="G10" i="77"/>
  <c r="I10" i="77"/>
  <c r="J10" i="77"/>
  <c r="K10" i="77"/>
  <c r="A11" i="77"/>
  <c r="B11" i="77"/>
  <c r="E11" i="77"/>
  <c r="G11" i="77"/>
  <c r="I11" i="77"/>
  <c r="J11" i="77"/>
  <c r="K11" i="77"/>
  <c r="A12" i="77"/>
  <c r="B12" i="77"/>
  <c r="E12" i="77"/>
  <c r="G12" i="77"/>
  <c r="I12" i="77"/>
  <c r="J12" i="77"/>
  <c r="K12" i="77"/>
  <c r="A13" i="77"/>
  <c r="B13" i="77"/>
  <c r="E13" i="77"/>
  <c r="G13" i="77"/>
  <c r="I13" i="77"/>
  <c r="J13" i="77"/>
  <c r="K13" i="77"/>
  <c r="A14" i="77"/>
  <c r="B14" i="77"/>
  <c r="E14" i="77"/>
  <c r="G14" i="77"/>
  <c r="I14" i="77"/>
  <c r="J14" i="77"/>
  <c r="K14" i="77"/>
  <c r="A15" i="77"/>
  <c r="B15" i="77"/>
  <c r="E15" i="77"/>
  <c r="G15" i="77"/>
  <c r="I15" i="77"/>
  <c r="J15" i="77"/>
  <c r="K15" i="77"/>
  <c r="A16" i="77"/>
  <c r="B16" i="77"/>
  <c r="E16" i="77"/>
  <c r="G16" i="77"/>
  <c r="I16" i="77"/>
  <c r="J16" i="77"/>
  <c r="K16" i="77"/>
  <c r="A17" i="77"/>
  <c r="B17" i="77"/>
  <c r="E17" i="77"/>
  <c r="G17" i="77"/>
  <c r="I17" i="77"/>
  <c r="J17" i="77"/>
  <c r="K17" i="77"/>
  <c r="A18" i="77"/>
  <c r="B18" i="77"/>
  <c r="E18" i="77"/>
  <c r="G18" i="77"/>
  <c r="I18" i="77"/>
  <c r="J18" i="77"/>
  <c r="K18" i="77"/>
  <c r="A19" i="77"/>
  <c r="B19" i="77"/>
  <c r="E19" i="77"/>
  <c r="G19" i="77"/>
  <c r="I19" i="77"/>
  <c r="J19" i="77"/>
  <c r="K19" i="77"/>
  <c r="A20" i="77"/>
  <c r="B20" i="77"/>
  <c r="E20" i="77"/>
  <c r="G20" i="77"/>
  <c r="I20" i="77"/>
  <c r="J20" i="77"/>
  <c r="K20" i="77"/>
  <c r="A21" i="77"/>
  <c r="B21" i="77"/>
  <c r="E21" i="77"/>
  <c r="G21" i="77"/>
  <c r="I21" i="77"/>
  <c r="J21" i="77"/>
  <c r="K21" i="77"/>
  <c r="A22" i="77"/>
  <c r="B22" i="77"/>
  <c r="E22" i="77"/>
  <c r="G22" i="77"/>
  <c r="I22" i="77"/>
  <c r="J22" i="77"/>
  <c r="K22" i="77"/>
  <c r="A23" i="77"/>
  <c r="B23" i="77"/>
  <c r="E23" i="77"/>
  <c r="G23" i="77"/>
  <c r="I23" i="77"/>
  <c r="J23" i="77"/>
  <c r="K23" i="77"/>
  <c r="A24" i="77"/>
  <c r="B24" i="77"/>
  <c r="E24" i="77"/>
  <c r="G24" i="77"/>
  <c r="I24" i="77"/>
  <c r="J24" i="77"/>
  <c r="K24" i="77"/>
  <c r="A25" i="77"/>
  <c r="B25" i="77"/>
  <c r="E25" i="77"/>
  <c r="G25" i="77"/>
  <c r="I25" i="77"/>
  <c r="J25" i="77"/>
  <c r="K25" i="77"/>
  <c r="A26" i="77"/>
  <c r="B26" i="77"/>
  <c r="E26" i="77"/>
  <c r="G26" i="77"/>
  <c r="I26" i="77"/>
  <c r="J26" i="77"/>
  <c r="K26" i="77"/>
  <c r="A27" i="77"/>
  <c r="B27" i="77"/>
  <c r="E27" i="77"/>
  <c r="G27" i="77"/>
  <c r="I27" i="77"/>
  <c r="J27" i="77"/>
  <c r="K27" i="77"/>
  <c r="A28" i="77"/>
  <c r="B28" i="77"/>
  <c r="E28" i="77"/>
  <c r="G28" i="77"/>
  <c r="I28" i="77"/>
  <c r="J28" i="77"/>
  <c r="K28" i="77"/>
  <c r="A29" i="77"/>
  <c r="B29" i="77"/>
  <c r="E29" i="77"/>
  <c r="G29" i="77"/>
  <c r="I29" i="77"/>
  <c r="J29" i="77"/>
  <c r="K29" i="77"/>
  <c r="A30" i="77"/>
  <c r="B30" i="77"/>
  <c r="E30" i="77"/>
  <c r="G30" i="77"/>
  <c r="I30" i="77"/>
  <c r="J30" i="77"/>
  <c r="K30" i="77"/>
  <c r="A31" i="77"/>
  <c r="B31" i="77"/>
  <c r="E31" i="77"/>
  <c r="G31" i="77"/>
  <c r="I31" i="77"/>
  <c r="J31" i="77"/>
  <c r="K31" i="77"/>
  <c r="A32" i="77"/>
  <c r="B32" i="77"/>
  <c r="E32" i="77"/>
  <c r="G32" i="77"/>
  <c r="I32" i="77"/>
  <c r="J32" i="77"/>
  <c r="K32" i="77"/>
  <c r="A33" i="77"/>
  <c r="B33" i="77"/>
  <c r="E33" i="77"/>
  <c r="G33" i="77"/>
  <c r="I33" i="77"/>
  <c r="J33" i="77"/>
  <c r="K33" i="77"/>
  <c r="A34" i="77"/>
  <c r="B34" i="77"/>
  <c r="E34" i="77"/>
  <c r="G34" i="77"/>
  <c r="I34" i="77"/>
  <c r="J34" i="77"/>
  <c r="K34" i="77"/>
  <c r="A35" i="77"/>
  <c r="B35" i="77"/>
  <c r="E35" i="77"/>
  <c r="G35" i="77"/>
  <c r="I35" i="77"/>
  <c r="J35" i="77"/>
  <c r="K35" i="77"/>
  <c r="A36" i="77"/>
  <c r="B36" i="77"/>
  <c r="E36" i="77"/>
  <c r="D23" i="70" s="1"/>
  <c r="G36" i="77"/>
  <c r="I36" i="77"/>
  <c r="J36" i="77"/>
  <c r="K36" i="77"/>
  <c r="J41" i="77"/>
  <c r="C9" i="73" s="1"/>
  <c r="J43" i="77"/>
  <c r="G43" i="77" s="1"/>
  <c r="C2" i="71"/>
  <c r="C6" i="71"/>
  <c r="F6" i="71"/>
  <c r="A7" i="71"/>
  <c r="C7" i="71"/>
  <c r="A8" i="71"/>
  <c r="C8" i="71"/>
  <c r="A9" i="71"/>
  <c r="C9" i="71"/>
  <c r="A10" i="71"/>
  <c r="C10" i="71"/>
  <c r="A11" i="71"/>
  <c r="C11" i="71"/>
  <c r="A12" i="71"/>
  <c r="C12" i="71"/>
  <c r="A13" i="71"/>
  <c r="C13" i="71"/>
  <c r="A14" i="71"/>
  <c r="C14" i="71"/>
  <c r="A15" i="71"/>
  <c r="C15" i="71"/>
  <c r="A16" i="71"/>
  <c r="C16" i="71"/>
  <c r="A17" i="71"/>
  <c r="C17" i="71"/>
  <c r="A18" i="71"/>
  <c r="C18" i="71"/>
  <c r="A19" i="71"/>
  <c r="C19" i="71"/>
  <c r="A20" i="71"/>
  <c r="C20" i="71"/>
  <c r="A21" i="71"/>
  <c r="C21" i="71"/>
  <c r="A22" i="71"/>
  <c r="C22" i="71"/>
  <c r="A23" i="71"/>
  <c r="C23" i="71"/>
  <c r="A24" i="71"/>
  <c r="C24" i="71"/>
  <c r="A25" i="71"/>
  <c r="C25" i="71"/>
  <c r="A26" i="71"/>
  <c r="C26" i="71"/>
  <c r="A27" i="71"/>
  <c r="C27" i="71"/>
  <c r="A28" i="71"/>
  <c r="C28" i="71"/>
  <c r="A29" i="71"/>
  <c r="C29" i="71"/>
  <c r="A30" i="71"/>
  <c r="C30" i="71"/>
  <c r="A31" i="71"/>
  <c r="C31" i="71"/>
  <c r="A32" i="71"/>
  <c r="C32" i="71"/>
  <c r="A33" i="71"/>
  <c r="C33" i="71"/>
  <c r="A34" i="71"/>
  <c r="C34" i="71"/>
  <c r="A35" i="71"/>
  <c r="C35" i="71"/>
  <c r="A36" i="71"/>
  <c r="C36" i="71"/>
  <c r="B40" i="71"/>
  <c r="A41" i="71"/>
  <c r="B41" i="71"/>
  <c r="C41" i="71"/>
  <c r="A42" i="71"/>
  <c r="B42" i="71"/>
  <c r="C42" i="71"/>
  <c r="A43" i="71"/>
  <c r="B43" i="71"/>
  <c r="C43" i="71"/>
  <c r="A44" i="71"/>
  <c r="B44" i="71"/>
  <c r="C44" i="71"/>
  <c r="A45" i="71"/>
  <c r="B45" i="71"/>
  <c r="C45" i="71"/>
  <c r="A46" i="71"/>
  <c r="B46" i="71"/>
  <c r="C46" i="71"/>
  <c r="A47" i="71"/>
  <c r="B47" i="71"/>
  <c r="C47" i="71"/>
  <c r="A48" i="71"/>
  <c r="B48" i="71"/>
  <c r="C48" i="71"/>
  <c r="A49" i="71"/>
  <c r="B49" i="71"/>
  <c r="C49" i="71"/>
  <c r="A50" i="71"/>
  <c r="B50" i="71"/>
  <c r="C50" i="71"/>
  <c r="A51" i="71"/>
  <c r="B51" i="71"/>
  <c r="C51" i="71"/>
  <c r="A52" i="71"/>
  <c r="B52" i="71"/>
  <c r="C52" i="71"/>
  <c r="A53" i="71"/>
  <c r="B53" i="71"/>
  <c r="C53" i="71"/>
  <c r="A54" i="71"/>
  <c r="B54" i="71"/>
  <c r="C54" i="71"/>
  <c r="A55" i="71"/>
  <c r="B55" i="71"/>
  <c r="C55" i="71"/>
  <c r="A56" i="71"/>
  <c r="B56" i="71"/>
  <c r="C56" i="71"/>
  <c r="A57" i="71"/>
  <c r="B57" i="71"/>
  <c r="C57" i="71"/>
  <c r="A58" i="71"/>
  <c r="B58" i="71"/>
  <c r="C58" i="71"/>
  <c r="A59" i="71"/>
  <c r="B59" i="71"/>
  <c r="C59" i="71"/>
  <c r="A60" i="71"/>
  <c r="B60" i="71"/>
  <c r="C60" i="71"/>
  <c r="A61" i="71"/>
  <c r="B61" i="71"/>
  <c r="C61" i="71"/>
  <c r="A62" i="71"/>
  <c r="B62" i="71"/>
  <c r="C62" i="71"/>
  <c r="A63" i="71"/>
  <c r="B63" i="71"/>
  <c r="C63" i="71"/>
  <c r="A64" i="71"/>
  <c r="B64" i="71"/>
  <c r="C64" i="71"/>
  <c r="A65" i="71"/>
  <c r="B65" i="71"/>
  <c r="C65" i="71"/>
  <c r="A66" i="71"/>
  <c r="B66" i="71"/>
  <c r="C66" i="71"/>
  <c r="A67" i="71"/>
  <c r="B67" i="71"/>
  <c r="C67" i="71"/>
  <c r="A68" i="71"/>
  <c r="B68" i="71"/>
  <c r="C68" i="71"/>
  <c r="A69" i="71"/>
  <c r="B69" i="71"/>
  <c r="C69" i="71"/>
  <c r="A70" i="71"/>
  <c r="B70" i="71"/>
  <c r="C70" i="71"/>
  <c r="A71" i="71"/>
  <c r="B71" i="71"/>
  <c r="C71" i="71"/>
  <c r="B72" i="71"/>
  <c r="C72" i="71"/>
  <c r="C76" i="71"/>
  <c r="B77" i="71"/>
  <c r="C77" i="71"/>
  <c r="C78" i="71"/>
  <c r="B79" i="71"/>
  <c r="C79" i="71"/>
  <c r="C81" i="71"/>
  <c r="C83" i="71"/>
  <c r="B85" i="71"/>
  <c r="C85" i="71"/>
  <c r="B87" i="71"/>
  <c r="C87" i="71"/>
  <c r="J2" i="72"/>
  <c r="B6" i="72"/>
  <c r="E6" i="72"/>
  <c r="I6" i="72"/>
  <c r="J6" i="72"/>
  <c r="K6" i="72"/>
  <c r="A7" i="72"/>
  <c r="B7" i="72"/>
  <c r="E7" i="72"/>
  <c r="G7" i="72"/>
  <c r="H7" i="72"/>
  <c r="I7" i="72"/>
  <c r="J7" i="72"/>
  <c r="K7" i="72"/>
  <c r="A8" i="72"/>
  <c r="B8" i="72"/>
  <c r="E8" i="72"/>
  <c r="G8" i="72"/>
  <c r="H8" i="72"/>
  <c r="I8" i="72"/>
  <c r="J8" i="72"/>
  <c r="K8" i="72"/>
  <c r="A9" i="72"/>
  <c r="B9" i="72"/>
  <c r="E9" i="72"/>
  <c r="G9" i="72"/>
  <c r="H9" i="72"/>
  <c r="I9" i="72"/>
  <c r="J9" i="72"/>
  <c r="K9" i="72"/>
  <c r="A10" i="72"/>
  <c r="B10" i="72"/>
  <c r="E10" i="72"/>
  <c r="G10" i="72"/>
  <c r="H10" i="72"/>
  <c r="I10" i="72"/>
  <c r="J10" i="72"/>
  <c r="K10" i="72"/>
  <c r="A11" i="72"/>
  <c r="B11" i="72"/>
  <c r="E11" i="72"/>
  <c r="G11" i="72"/>
  <c r="H11" i="72"/>
  <c r="I11" i="72"/>
  <c r="J11" i="72"/>
  <c r="K11" i="72"/>
  <c r="A12" i="72"/>
  <c r="B12" i="72"/>
  <c r="E12" i="72"/>
  <c r="G12" i="72"/>
  <c r="H12" i="72"/>
  <c r="I12" i="72"/>
  <c r="J12" i="72"/>
  <c r="K12" i="72"/>
  <c r="A13" i="72"/>
  <c r="B13" i="72"/>
  <c r="E13" i="72"/>
  <c r="G13" i="72"/>
  <c r="H13" i="72"/>
  <c r="I13" i="72"/>
  <c r="J13" i="72"/>
  <c r="K13" i="72"/>
  <c r="A14" i="72"/>
  <c r="B14" i="72"/>
  <c r="E14" i="72"/>
  <c r="G14" i="72"/>
  <c r="H14" i="72"/>
  <c r="I14" i="72"/>
  <c r="J14" i="72"/>
  <c r="K14" i="72"/>
  <c r="A15" i="72"/>
  <c r="B15" i="72"/>
  <c r="E15" i="72"/>
  <c r="G15" i="72"/>
  <c r="H15" i="72"/>
  <c r="I15" i="72"/>
  <c r="J15" i="72"/>
  <c r="K15" i="72"/>
  <c r="A16" i="72"/>
  <c r="B16" i="72"/>
  <c r="E16" i="72"/>
  <c r="G16" i="72"/>
  <c r="H16" i="72"/>
  <c r="I16" i="72"/>
  <c r="J16" i="72"/>
  <c r="K16" i="72"/>
  <c r="A17" i="72"/>
  <c r="B17" i="72"/>
  <c r="E17" i="72"/>
  <c r="G17" i="72"/>
  <c r="H17" i="72"/>
  <c r="I17" i="72"/>
  <c r="J17" i="72"/>
  <c r="K17" i="72"/>
  <c r="A18" i="72"/>
  <c r="B18" i="72"/>
  <c r="E18" i="72"/>
  <c r="G18" i="72"/>
  <c r="H18" i="72"/>
  <c r="I18" i="72"/>
  <c r="J18" i="72"/>
  <c r="K18" i="72"/>
  <c r="A19" i="72"/>
  <c r="B19" i="72"/>
  <c r="E19" i="72"/>
  <c r="G19" i="72"/>
  <c r="H19" i="72"/>
  <c r="I19" i="72"/>
  <c r="J19" i="72"/>
  <c r="K19" i="72"/>
  <c r="A20" i="72"/>
  <c r="B20" i="72"/>
  <c r="E20" i="72"/>
  <c r="G20" i="72"/>
  <c r="H20" i="72"/>
  <c r="I20" i="72"/>
  <c r="J20" i="72"/>
  <c r="K20" i="72"/>
  <c r="A21" i="72"/>
  <c r="B21" i="72"/>
  <c r="E21" i="72"/>
  <c r="G21" i="72"/>
  <c r="H21" i="72"/>
  <c r="I21" i="72"/>
  <c r="J21" i="72"/>
  <c r="K21" i="72"/>
  <c r="A22" i="72"/>
  <c r="B22" i="72"/>
  <c r="E22" i="72"/>
  <c r="G22" i="72"/>
  <c r="H22" i="72"/>
  <c r="I22" i="72"/>
  <c r="J22" i="72"/>
  <c r="K22" i="72"/>
  <c r="A23" i="72"/>
  <c r="B23" i="72"/>
  <c r="B24" i="72" s="1"/>
  <c r="E23" i="72"/>
  <c r="G23" i="72"/>
  <c r="H23" i="72"/>
  <c r="I23" i="72"/>
  <c r="A24" i="72"/>
  <c r="G24" i="72"/>
  <c r="H24" i="72"/>
  <c r="I24" i="72"/>
  <c r="A25" i="72"/>
  <c r="G25" i="72"/>
  <c r="H25" i="72"/>
  <c r="I25" i="72"/>
  <c r="A26" i="72"/>
  <c r="G26" i="72"/>
  <c r="H26" i="72"/>
  <c r="I26" i="72"/>
  <c r="A27" i="72"/>
  <c r="G27" i="72"/>
  <c r="H27" i="72"/>
  <c r="I27" i="72"/>
  <c r="A28" i="72"/>
  <c r="G28" i="72"/>
  <c r="H28" i="72"/>
  <c r="I28" i="72"/>
  <c r="A29" i="72"/>
  <c r="G29" i="72"/>
  <c r="H29" i="72"/>
  <c r="I29" i="72"/>
  <c r="A30" i="72"/>
  <c r="G30" i="72"/>
  <c r="H30" i="72"/>
  <c r="I30" i="72"/>
  <c r="A31" i="72"/>
  <c r="G31" i="72"/>
  <c r="H31" i="72"/>
  <c r="I31" i="72"/>
  <c r="A32" i="72"/>
  <c r="G32" i="72"/>
  <c r="H32" i="72"/>
  <c r="I32" i="72"/>
  <c r="A33" i="72"/>
  <c r="G33" i="72"/>
  <c r="H33" i="72"/>
  <c r="I33" i="72"/>
  <c r="A34" i="72"/>
  <c r="G34" i="72"/>
  <c r="H34" i="72"/>
  <c r="I34" i="72"/>
  <c r="A35" i="72"/>
  <c r="G35" i="72"/>
  <c r="H35" i="72"/>
  <c r="I35" i="72"/>
  <c r="A36" i="72"/>
  <c r="G36" i="72"/>
  <c r="H36" i="72"/>
  <c r="I36" i="72"/>
  <c r="E37" i="72"/>
  <c r="J41" i="72"/>
  <c r="J43" i="72"/>
  <c r="G43" i="72" s="1"/>
  <c r="C2" i="76"/>
  <c r="C6" i="76"/>
  <c r="G6" i="76"/>
  <c r="A7" i="76"/>
  <c r="C7" i="76"/>
  <c r="A8" i="76"/>
  <c r="C8" i="76"/>
  <c r="A9" i="76"/>
  <c r="C9" i="76"/>
  <c r="A10" i="76"/>
  <c r="C10" i="76"/>
  <c r="A11" i="76"/>
  <c r="C11" i="76"/>
  <c r="A12" i="76"/>
  <c r="C12" i="76"/>
  <c r="A13" i="76"/>
  <c r="C13" i="76"/>
  <c r="A14" i="76"/>
  <c r="C14" i="76"/>
  <c r="A15" i="76"/>
  <c r="C15" i="76"/>
  <c r="A16" i="76"/>
  <c r="C16" i="76"/>
  <c r="A17" i="76"/>
  <c r="C17" i="76"/>
  <c r="A18" i="76"/>
  <c r="C18" i="76"/>
  <c r="A19" i="76"/>
  <c r="C19" i="76"/>
  <c r="A20" i="76"/>
  <c r="C20" i="76"/>
  <c r="A21" i="76"/>
  <c r="C21" i="76"/>
  <c r="A22" i="76"/>
  <c r="C22" i="76"/>
  <c r="A23" i="76"/>
  <c r="C23" i="76"/>
  <c r="A24" i="76"/>
  <c r="C24" i="76"/>
  <c r="A25" i="76"/>
  <c r="C25" i="76"/>
  <c r="A26" i="76"/>
  <c r="C26" i="76"/>
  <c r="A27" i="76"/>
  <c r="C27" i="76"/>
  <c r="A28" i="76"/>
  <c r="C28" i="76"/>
  <c r="A29" i="76"/>
  <c r="C29" i="76"/>
  <c r="A30" i="76"/>
  <c r="C30" i="76"/>
  <c r="A31" i="76"/>
  <c r="C31" i="76"/>
  <c r="A32" i="76"/>
  <c r="C32" i="76"/>
  <c r="A33" i="76"/>
  <c r="C33" i="76"/>
  <c r="A34" i="76"/>
  <c r="C34" i="76"/>
  <c r="A35" i="76"/>
  <c r="C35" i="76"/>
  <c r="A36" i="76"/>
  <c r="C36" i="76"/>
  <c r="B40" i="76"/>
  <c r="A41" i="76"/>
  <c r="B41" i="76"/>
  <c r="C41" i="76"/>
  <c r="A42" i="76"/>
  <c r="B42" i="76"/>
  <c r="C42" i="76"/>
  <c r="A43" i="76"/>
  <c r="B43" i="76"/>
  <c r="C43" i="76"/>
  <c r="A44" i="76"/>
  <c r="B44" i="76"/>
  <c r="C44" i="76"/>
  <c r="A45" i="76"/>
  <c r="B45" i="76"/>
  <c r="C45" i="76"/>
  <c r="A46" i="76"/>
  <c r="B46" i="76"/>
  <c r="C46" i="76"/>
  <c r="A47" i="76"/>
  <c r="B47" i="76"/>
  <c r="C47" i="76"/>
  <c r="A48" i="76"/>
  <c r="B48" i="76"/>
  <c r="C48" i="76"/>
  <c r="A49" i="76"/>
  <c r="B49" i="76"/>
  <c r="C49" i="76"/>
  <c r="A50" i="76"/>
  <c r="B50" i="76"/>
  <c r="C50" i="76"/>
  <c r="A51" i="76"/>
  <c r="B51" i="76"/>
  <c r="C51" i="76"/>
  <c r="A52" i="76"/>
  <c r="B52" i="76"/>
  <c r="C52" i="76"/>
  <c r="A53" i="76"/>
  <c r="B53" i="76"/>
  <c r="C53" i="76"/>
  <c r="A54" i="76"/>
  <c r="B54" i="76"/>
  <c r="C54" i="76"/>
  <c r="A55" i="76"/>
  <c r="B55" i="76"/>
  <c r="C55" i="76"/>
  <c r="A56" i="76"/>
  <c r="B56" i="76"/>
  <c r="C56" i="76"/>
  <c r="A57" i="76"/>
  <c r="B57" i="76"/>
  <c r="C57" i="76"/>
  <c r="A58" i="76"/>
  <c r="B58" i="76"/>
  <c r="C58" i="76"/>
  <c r="A59" i="76"/>
  <c r="B59" i="76"/>
  <c r="C59" i="76"/>
  <c r="A60" i="76"/>
  <c r="B60" i="76"/>
  <c r="C60" i="76"/>
  <c r="A61" i="76"/>
  <c r="B61" i="76"/>
  <c r="C61" i="76"/>
  <c r="A62" i="76"/>
  <c r="B62" i="76"/>
  <c r="C62" i="76"/>
  <c r="A63" i="76"/>
  <c r="B63" i="76"/>
  <c r="C63" i="76"/>
  <c r="A64" i="76"/>
  <c r="B64" i="76"/>
  <c r="C64" i="76"/>
  <c r="A65" i="76"/>
  <c r="B65" i="76"/>
  <c r="C65" i="76"/>
  <c r="A66" i="76"/>
  <c r="B66" i="76"/>
  <c r="C66" i="76"/>
  <c r="A67" i="76"/>
  <c r="B67" i="76"/>
  <c r="C67" i="76"/>
  <c r="A68" i="76"/>
  <c r="B68" i="76"/>
  <c r="C68" i="76"/>
  <c r="A69" i="76"/>
  <c r="B69" i="76"/>
  <c r="C69" i="76"/>
  <c r="A70" i="76"/>
  <c r="B70" i="76"/>
  <c r="C70" i="76"/>
  <c r="A71" i="76"/>
  <c r="B71" i="76"/>
  <c r="C71" i="76"/>
  <c r="B72" i="76"/>
  <c r="C72" i="76"/>
  <c r="C76" i="76"/>
  <c r="B77" i="76"/>
  <c r="C77" i="76"/>
  <c r="C78" i="76"/>
  <c r="B79" i="76"/>
  <c r="C79" i="76"/>
  <c r="C81" i="76"/>
  <c r="C83" i="76"/>
  <c r="B85" i="76"/>
  <c r="C85" i="76"/>
  <c r="B87" i="76"/>
  <c r="C87" i="76"/>
  <c r="J2" i="75"/>
  <c r="B6" i="75"/>
  <c r="E6" i="75"/>
  <c r="I6" i="75"/>
  <c r="J6" i="75"/>
  <c r="K6" i="75"/>
  <c r="A7" i="75"/>
  <c r="B7" i="75"/>
  <c r="E7" i="75"/>
  <c r="G7" i="75"/>
  <c r="H7" i="75"/>
  <c r="I7" i="75"/>
  <c r="J7" i="75"/>
  <c r="K7" i="75"/>
  <c r="A8" i="75"/>
  <c r="B8" i="75"/>
  <c r="E8" i="75"/>
  <c r="G8" i="75"/>
  <c r="H8" i="75"/>
  <c r="I8" i="75"/>
  <c r="J8" i="75"/>
  <c r="K8" i="75"/>
  <c r="A9" i="75"/>
  <c r="B9" i="75"/>
  <c r="E9" i="75"/>
  <c r="G9" i="75"/>
  <c r="H9" i="75"/>
  <c r="I9" i="75"/>
  <c r="J9" i="75"/>
  <c r="K9" i="75"/>
  <c r="A10" i="75"/>
  <c r="B10" i="75"/>
  <c r="E10" i="75"/>
  <c r="G10" i="75"/>
  <c r="H10" i="75"/>
  <c r="I10" i="75"/>
  <c r="J10" i="75"/>
  <c r="K10" i="75"/>
  <c r="A11" i="75"/>
  <c r="B11" i="75"/>
  <c r="E11" i="75"/>
  <c r="G11" i="75"/>
  <c r="H11" i="75"/>
  <c r="I11" i="75"/>
  <c r="J11" i="75"/>
  <c r="K11" i="75"/>
  <c r="A12" i="75"/>
  <c r="B12" i="75"/>
  <c r="E12" i="75"/>
  <c r="G12" i="75"/>
  <c r="H12" i="75"/>
  <c r="I12" i="75"/>
  <c r="J12" i="75"/>
  <c r="K12" i="75"/>
  <c r="A13" i="75"/>
  <c r="B13" i="75"/>
  <c r="E13" i="75"/>
  <c r="G13" i="75"/>
  <c r="H13" i="75"/>
  <c r="I13" i="75"/>
  <c r="J13" i="75"/>
  <c r="K13" i="75"/>
  <c r="A14" i="75"/>
  <c r="B14" i="75"/>
  <c r="E14" i="75"/>
  <c r="G14" i="75"/>
  <c r="H14" i="75"/>
  <c r="I14" i="75"/>
  <c r="J14" i="75"/>
  <c r="K14" i="75"/>
  <c r="A15" i="75"/>
  <c r="B15" i="75"/>
  <c r="E15" i="75"/>
  <c r="G15" i="75"/>
  <c r="H15" i="75"/>
  <c r="I15" i="75"/>
  <c r="J15" i="75"/>
  <c r="K15" i="75"/>
  <c r="A16" i="75"/>
  <c r="B16" i="75"/>
  <c r="E16" i="75"/>
  <c r="G16" i="75"/>
  <c r="H16" i="75"/>
  <c r="I16" i="75"/>
  <c r="J16" i="75"/>
  <c r="K16" i="75"/>
  <c r="A17" i="75"/>
  <c r="B17" i="75"/>
  <c r="E17" i="75"/>
  <c r="G17" i="75"/>
  <c r="H17" i="75"/>
  <c r="I17" i="75"/>
  <c r="J17" i="75"/>
  <c r="K17" i="75"/>
  <c r="A18" i="75"/>
  <c r="B18" i="75"/>
  <c r="E18" i="75"/>
  <c r="G18" i="75"/>
  <c r="H18" i="75"/>
  <c r="I18" i="75"/>
  <c r="J18" i="75"/>
  <c r="K18" i="75"/>
  <c r="A19" i="75"/>
  <c r="B19" i="75"/>
  <c r="E19" i="75"/>
  <c r="G19" i="75"/>
  <c r="H19" i="75"/>
  <c r="I19" i="75"/>
  <c r="J19" i="75"/>
  <c r="K19" i="75"/>
  <c r="A20" i="75"/>
  <c r="B20" i="75"/>
  <c r="E20" i="75"/>
  <c r="G20" i="75"/>
  <c r="H20" i="75"/>
  <c r="I20" i="75"/>
  <c r="J20" i="75"/>
  <c r="K20" i="75"/>
  <c r="A21" i="75"/>
  <c r="B21" i="75"/>
  <c r="E21" i="75"/>
  <c r="G21" i="75"/>
  <c r="H21" i="75"/>
  <c r="I21" i="75"/>
  <c r="J21" i="75"/>
  <c r="K21" i="75"/>
  <c r="A22" i="75"/>
  <c r="B22" i="75"/>
  <c r="E22" i="75"/>
  <c r="G22" i="75"/>
  <c r="H22" i="75"/>
  <c r="I22" i="75"/>
  <c r="J22" i="75"/>
  <c r="K22" i="75"/>
  <c r="A23" i="75"/>
  <c r="B23" i="75"/>
  <c r="E23" i="75"/>
  <c r="G23" i="75"/>
  <c r="H23" i="75"/>
  <c r="I23" i="75"/>
  <c r="J23" i="75"/>
  <c r="K23" i="75"/>
  <c r="A24" i="75"/>
  <c r="B24" i="75"/>
  <c r="E24" i="75"/>
  <c r="G24" i="75"/>
  <c r="H24" i="75"/>
  <c r="I24" i="75"/>
  <c r="J24" i="75"/>
  <c r="K24" i="75"/>
  <c r="A25" i="75"/>
  <c r="B25" i="75"/>
  <c r="E25" i="75"/>
  <c r="G25" i="75"/>
  <c r="H25" i="75"/>
  <c r="I25" i="75"/>
  <c r="J25" i="75"/>
  <c r="K25" i="75"/>
  <c r="A26" i="75"/>
  <c r="B26" i="75"/>
  <c r="E26" i="75"/>
  <c r="G26" i="75"/>
  <c r="H26" i="75"/>
  <c r="I26" i="75"/>
  <c r="J26" i="75"/>
  <c r="K26" i="75"/>
  <c r="A27" i="75"/>
  <c r="B27" i="75"/>
  <c r="E27" i="75"/>
  <c r="G27" i="75"/>
  <c r="H27" i="75"/>
  <c r="I27" i="75"/>
  <c r="J27" i="75"/>
  <c r="K27" i="75"/>
  <c r="A28" i="75"/>
  <c r="B28" i="75"/>
  <c r="E28" i="75"/>
  <c r="G28" i="75"/>
  <c r="H28" i="75"/>
  <c r="I28" i="75"/>
  <c r="J28" i="75"/>
  <c r="K28" i="75"/>
  <c r="A29" i="75"/>
  <c r="B29" i="75"/>
  <c r="E29" i="75"/>
  <c r="G29" i="75"/>
  <c r="H29" i="75"/>
  <c r="I29" i="75"/>
  <c r="J29" i="75"/>
  <c r="K29" i="75"/>
  <c r="A30" i="75"/>
  <c r="B30" i="75"/>
  <c r="E30" i="75"/>
  <c r="G30" i="75"/>
  <c r="H30" i="75"/>
  <c r="I30" i="75"/>
  <c r="J30" i="75"/>
  <c r="K30" i="75"/>
  <c r="A31" i="75"/>
  <c r="B31" i="75"/>
  <c r="E31" i="75" s="1"/>
  <c r="G31" i="75"/>
  <c r="H31" i="75"/>
  <c r="I31" i="75"/>
  <c r="A32" i="75"/>
  <c r="B32" i="75"/>
  <c r="E32" i="75"/>
  <c r="G32" i="75"/>
  <c r="H32" i="75"/>
  <c r="I32" i="75"/>
  <c r="A33" i="75"/>
  <c r="B33" i="75"/>
  <c r="E33" i="75"/>
  <c r="G33" i="75"/>
  <c r="H33" i="75"/>
  <c r="I33" i="75"/>
  <c r="A34" i="75"/>
  <c r="B34" i="75"/>
  <c r="E34" i="75"/>
  <c r="G34" i="75"/>
  <c r="H34" i="75"/>
  <c r="I34" i="75"/>
  <c r="A35" i="75"/>
  <c r="B35" i="75"/>
  <c r="E35" i="75"/>
  <c r="G35" i="75"/>
  <c r="H35" i="75"/>
  <c r="I35" i="75"/>
  <c r="A36" i="75"/>
  <c r="B36" i="75"/>
  <c r="E36" i="75" s="1"/>
  <c r="G36" i="75"/>
  <c r="H36" i="75"/>
  <c r="I36" i="75"/>
  <c r="J41" i="75"/>
  <c r="J43" i="75"/>
  <c r="G43" i="75" s="1"/>
  <c r="E6" i="91"/>
  <c r="F6" i="91"/>
  <c r="G6" i="91"/>
  <c r="H6" i="91"/>
  <c r="I6" i="91"/>
  <c r="E7" i="91"/>
  <c r="F7" i="91"/>
  <c r="G7" i="91"/>
  <c r="H7" i="91"/>
  <c r="I7" i="91"/>
  <c r="D8" i="91"/>
  <c r="E8" i="91"/>
  <c r="F8" i="91"/>
  <c r="G8" i="91"/>
  <c r="H8" i="91"/>
  <c r="I8" i="91"/>
  <c r="E11" i="91"/>
  <c r="F11" i="91"/>
  <c r="G11" i="91"/>
  <c r="H11" i="91"/>
  <c r="I11" i="91"/>
  <c r="E12" i="91"/>
  <c r="F12" i="91"/>
  <c r="G12" i="91"/>
  <c r="H12" i="91"/>
  <c r="I12" i="91"/>
  <c r="E13" i="91"/>
  <c r="F13" i="91"/>
  <c r="G13" i="91"/>
  <c r="H13" i="91"/>
  <c r="I13" i="91"/>
  <c r="E14" i="91"/>
  <c r="F14" i="91"/>
  <c r="G14" i="91"/>
  <c r="H14" i="91"/>
  <c r="I14" i="91"/>
  <c r="D15" i="91"/>
  <c r="E15" i="91"/>
  <c r="F15" i="91"/>
  <c r="G15" i="91"/>
  <c r="H15" i="91"/>
  <c r="I15" i="91"/>
  <c r="D8" i="70"/>
  <c r="J8" i="70"/>
  <c r="C9" i="70"/>
  <c r="J9" i="70"/>
  <c r="J10" i="70"/>
  <c r="J11" i="70"/>
  <c r="M11" i="70"/>
  <c r="M12" i="70"/>
  <c r="B13" i="70"/>
  <c r="C13" i="70"/>
  <c r="E13" i="70"/>
  <c r="F13" i="70"/>
  <c r="H13" i="70"/>
  <c r="I13" i="70"/>
  <c r="M14" i="70"/>
  <c r="M15" i="70"/>
  <c r="D16" i="70"/>
  <c r="J16" i="70"/>
  <c r="B17" i="70"/>
  <c r="C17" i="70"/>
  <c r="D17" i="70"/>
  <c r="E17" i="70"/>
  <c r="J17" i="70"/>
  <c r="B19" i="70"/>
  <c r="C19" i="70"/>
  <c r="E19" i="70"/>
  <c r="F19" i="70"/>
  <c r="G19" i="70"/>
  <c r="H19" i="70"/>
  <c r="I19" i="70"/>
  <c r="J22" i="70"/>
  <c r="E23" i="70"/>
  <c r="H23" i="70"/>
  <c r="J24" i="70"/>
  <c r="E25" i="70"/>
  <c r="H25" i="70"/>
  <c r="I25" i="70"/>
  <c r="B33" i="70"/>
  <c r="B34" i="70"/>
  <c r="B35" i="70"/>
  <c r="B36" i="70"/>
  <c r="C48" i="70"/>
  <c r="D48" i="70"/>
  <c r="E48" i="70"/>
  <c r="F48" i="70"/>
  <c r="G48" i="70"/>
  <c r="C49" i="70"/>
  <c r="D49" i="70"/>
  <c r="E49" i="70"/>
  <c r="F49" i="70"/>
  <c r="G49" i="70"/>
  <c r="C50" i="70"/>
  <c r="D50" i="70"/>
  <c r="E50" i="70"/>
  <c r="F50" i="70"/>
  <c r="G50" i="70"/>
  <c r="C51" i="70"/>
  <c r="D51" i="70"/>
  <c r="E51" i="70"/>
  <c r="F51" i="70"/>
  <c r="G51" i="70"/>
  <c r="B52" i="70"/>
  <c r="C52" i="70"/>
  <c r="D52" i="70"/>
  <c r="E52" i="70"/>
  <c r="F52" i="70"/>
  <c r="G52" i="70"/>
  <c r="F56" i="70"/>
  <c r="D59" i="70"/>
  <c r="D60" i="70"/>
  <c r="B8" i="68"/>
  <c r="D8" i="68"/>
  <c r="E8" i="68"/>
  <c r="K8" i="68"/>
  <c r="AA8" i="68"/>
  <c r="A9" i="68"/>
  <c r="B9" i="68"/>
  <c r="D9" i="68"/>
  <c r="E9" i="68"/>
  <c r="K9" i="68"/>
  <c r="AA9" i="68"/>
  <c r="A10" i="68"/>
  <c r="B10" i="68"/>
  <c r="D10" i="68"/>
  <c r="E10" i="68"/>
  <c r="K10" i="68"/>
  <c r="AA10" i="68"/>
  <c r="A11" i="68"/>
  <c r="B11" i="68"/>
  <c r="D11" i="68"/>
  <c r="E11" i="68"/>
  <c r="K11" i="68"/>
  <c r="AA11" i="68"/>
  <c r="A12" i="68"/>
  <c r="B12" i="68"/>
  <c r="D12" i="68"/>
  <c r="E12" i="68"/>
  <c r="K12" i="68"/>
  <c r="AA12" i="68"/>
  <c r="A13" i="68"/>
  <c r="B13" i="68"/>
  <c r="D13" i="68"/>
  <c r="E13" i="68"/>
  <c r="K13" i="68"/>
  <c r="AA13" i="68"/>
  <c r="A14" i="68"/>
  <c r="B14" i="68"/>
  <c r="D14" i="68"/>
  <c r="E14" i="68"/>
  <c r="K14" i="68"/>
  <c r="AA14" i="68"/>
  <c r="A15" i="68"/>
  <c r="B15" i="68"/>
  <c r="D15" i="68"/>
  <c r="E15" i="68"/>
  <c r="K15" i="68"/>
  <c r="AA15" i="68"/>
  <c r="A16" i="68"/>
  <c r="B16" i="68"/>
  <c r="D16" i="68"/>
  <c r="E16" i="68"/>
  <c r="K16" i="68"/>
  <c r="AA16" i="68"/>
  <c r="A17" i="68"/>
  <c r="B17" i="68"/>
  <c r="D17" i="68"/>
  <c r="E17" i="68"/>
  <c r="K17" i="68"/>
  <c r="AA17" i="68"/>
  <c r="A18" i="68"/>
  <c r="B18" i="68"/>
  <c r="D18" i="68"/>
  <c r="E18" i="68"/>
  <c r="K18" i="68"/>
  <c r="AA18" i="68"/>
  <c r="A19" i="68"/>
  <c r="B19" i="68"/>
  <c r="D19" i="68"/>
  <c r="E19" i="68"/>
  <c r="K19" i="68"/>
  <c r="AA19" i="68"/>
  <c r="A20" i="68"/>
  <c r="B20" i="68"/>
  <c r="D20" i="68"/>
  <c r="E20" i="68"/>
  <c r="K20" i="68"/>
  <c r="AA20" i="68"/>
  <c r="A21" i="68"/>
  <c r="B21" i="68"/>
  <c r="D21" i="68"/>
  <c r="E21" i="68"/>
  <c r="K21" i="68"/>
  <c r="AA21" i="68"/>
  <c r="A22" i="68"/>
  <c r="B22" i="68"/>
  <c r="D22" i="68"/>
  <c r="E22" i="68"/>
  <c r="K22" i="68"/>
  <c r="AA22" i="68"/>
  <c r="A23" i="68"/>
  <c r="B23" i="68"/>
  <c r="D23" i="68"/>
  <c r="E23" i="68"/>
  <c r="K23" i="68"/>
  <c r="AA23" i="68"/>
  <c r="A24" i="68"/>
  <c r="B24" i="68"/>
  <c r="D24" i="68"/>
  <c r="E24" i="68"/>
  <c r="K24" i="68"/>
  <c r="AA24" i="68"/>
  <c r="A25" i="68"/>
  <c r="B25" i="68"/>
  <c r="D25" i="68"/>
  <c r="E25" i="68"/>
  <c r="K25" i="68"/>
  <c r="AA25" i="68"/>
  <c r="A26" i="68"/>
  <c r="B26" i="68"/>
  <c r="D26" i="68"/>
  <c r="E26" i="68"/>
  <c r="K26" i="68"/>
  <c r="AA26" i="68"/>
  <c r="A27" i="68"/>
  <c r="B27" i="68"/>
  <c r="D27" i="68"/>
  <c r="E27" i="68"/>
  <c r="K27" i="68"/>
  <c r="AA27" i="68"/>
  <c r="A28" i="68"/>
  <c r="B28" i="68"/>
  <c r="D28" i="68"/>
  <c r="E28" i="68"/>
  <c r="K28" i="68"/>
  <c r="AA28" i="68"/>
  <c r="A29" i="68"/>
  <c r="B29" i="68"/>
  <c r="D29" i="68"/>
  <c r="E29" i="68"/>
  <c r="K29" i="68"/>
  <c r="AA29" i="68"/>
  <c r="A30" i="68"/>
  <c r="B30" i="68"/>
  <c r="D30" i="68"/>
  <c r="E30" i="68"/>
  <c r="K30" i="68"/>
  <c r="AA30" i="68"/>
  <c r="A31" i="68"/>
  <c r="B31" i="68"/>
  <c r="D31" i="68"/>
  <c r="E31" i="68"/>
  <c r="K31" i="68"/>
  <c r="AA31" i="68"/>
  <c r="A32" i="68"/>
  <c r="B32" i="68"/>
  <c r="D32" i="68"/>
  <c r="E32" i="68"/>
  <c r="K32" i="68"/>
  <c r="AA32" i="68"/>
  <c r="A33" i="68"/>
  <c r="B33" i="68"/>
  <c r="D33" i="68"/>
  <c r="E33" i="68"/>
  <c r="K33" i="68"/>
  <c r="AA33" i="68"/>
  <c r="A34" i="68"/>
  <c r="B34" i="68"/>
  <c r="D34" i="68"/>
  <c r="E34" i="68"/>
  <c r="K34" i="68"/>
  <c r="AA34" i="68"/>
  <c r="A35" i="68"/>
  <c r="B35" i="68"/>
  <c r="D35" i="68"/>
  <c r="E35" i="68"/>
  <c r="K35" i="68"/>
  <c r="AA35" i="68"/>
  <c r="A36" i="68"/>
  <c r="B36" i="68"/>
  <c r="D36" i="68"/>
  <c r="E36" i="68"/>
  <c r="K36" i="68"/>
  <c r="AA36" i="68"/>
  <c r="A37" i="68"/>
  <c r="B37" i="68"/>
  <c r="D37" i="68"/>
  <c r="E37" i="68"/>
  <c r="K37" i="68"/>
  <c r="AA37" i="68"/>
  <c r="A38" i="68"/>
  <c r="B38" i="68"/>
  <c r="D38" i="68"/>
  <c r="E38" i="68"/>
  <c r="K38" i="68"/>
  <c r="AA38" i="68"/>
  <c r="J39" i="68"/>
  <c r="K39" i="68"/>
  <c r="M39" i="68"/>
  <c r="O39" i="68"/>
  <c r="P39" i="68"/>
  <c r="Q39" i="68"/>
  <c r="R39" i="68"/>
  <c r="S39" i="68"/>
  <c r="T39" i="68"/>
  <c r="U39" i="68"/>
  <c r="V39" i="68"/>
  <c r="W39" i="68"/>
  <c r="X39" i="68"/>
  <c r="Y39" i="68"/>
  <c r="Z39" i="68"/>
  <c r="AA39" i="68"/>
  <c r="B40" i="68"/>
  <c r="D40" i="68"/>
  <c r="E40" i="68"/>
  <c r="B12" i="69"/>
  <c r="B13" i="69"/>
  <c r="B14" i="69"/>
  <c r="B16" i="69"/>
  <c r="B17" i="69"/>
  <c r="B24" i="69"/>
  <c r="B28" i="69"/>
  <c r="B34" i="69"/>
  <c r="B35" i="69"/>
  <c r="B40" i="69"/>
  <c r="C5" i="73"/>
  <c r="D5" i="73"/>
  <c r="E5" i="73"/>
  <c r="F5" i="73"/>
  <c r="G5" i="73"/>
  <c r="H5" i="73"/>
  <c r="I5" i="73"/>
  <c r="C6" i="73"/>
  <c r="D6" i="73"/>
  <c r="H6" i="73"/>
  <c r="C7" i="73"/>
  <c r="D7" i="73"/>
  <c r="E7" i="73"/>
  <c r="F7" i="73"/>
  <c r="G7" i="73"/>
  <c r="H7" i="73"/>
  <c r="I7" i="73"/>
  <c r="C8" i="73"/>
  <c r="D8" i="73"/>
  <c r="H8" i="73"/>
  <c r="H9" i="73"/>
  <c r="C10" i="73"/>
  <c r="D10" i="73"/>
  <c r="E10" i="73"/>
  <c r="F10" i="73"/>
  <c r="G10" i="73"/>
  <c r="H10" i="73"/>
  <c r="I10" i="73"/>
  <c r="C11" i="73"/>
  <c r="D11" i="73"/>
  <c r="E11" i="73"/>
  <c r="F11" i="73"/>
  <c r="G11" i="73"/>
  <c r="H11" i="73"/>
  <c r="I11" i="73"/>
  <c r="C12" i="73"/>
  <c r="D12" i="73"/>
  <c r="E12" i="73"/>
  <c r="F12" i="73"/>
  <c r="G12" i="73"/>
  <c r="H12" i="73"/>
  <c r="I12" i="73"/>
  <c r="C13" i="73"/>
  <c r="D13" i="73"/>
  <c r="E13" i="73"/>
  <c r="F13" i="73"/>
  <c r="G13" i="73"/>
  <c r="H13" i="73"/>
  <c r="I13" i="73"/>
  <c r="C14" i="73"/>
  <c r="D14" i="73"/>
  <c r="E14" i="73"/>
  <c r="F14" i="73"/>
  <c r="G14" i="73"/>
  <c r="H14" i="73"/>
  <c r="I14" i="73"/>
  <c r="C15" i="73"/>
  <c r="D15" i="73"/>
  <c r="E15" i="73"/>
  <c r="F15" i="73"/>
  <c r="G15" i="73"/>
  <c r="H15" i="73"/>
  <c r="I15" i="73"/>
  <c r="H16" i="73"/>
  <c r="B17" i="73"/>
  <c r="H17" i="73"/>
  <c r="I4" i="90"/>
  <c r="E8" i="90"/>
  <c r="G8" i="90"/>
  <c r="L8" i="90"/>
  <c r="M8" i="90"/>
  <c r="N8" i="90"/>
  <c r="O8" i="90"/>
  <c r="P8" i="90"/>
  <c r="Q8" i="90"/>
  <c r="E9" i="90"/>
  <c r="G9" i="90"/>
  <c r="L9" i="90"/>
  <c r="M9" i="90"/>
  <c r="N9" i="90"/>
  <c r="O9" i="90"/>
  <c r="P9" i="90"/>
  <c r="Q9" i="90"/>
  <c r="C10" i="90"/>
  <c r="G10" i="90"/>
  <c r="L10" i="90"/>
  <c r="M10" i="90"/>
  <c r="N10" i="90"/>
  <c r="O10" i="90"/>
  <c r="P10" i="90"/>
  <c r="Q10" i="90"/>
  <c r="C11" i="90"/>
  <c r="G11" i="90"/>
  <c r="L11" i="90"/>
  <c r="M11" i="90"/>
  <c r="N11" i="90"/>
  <c r="O11" i="90"/>
  <c r="P11" i="90"/>
  <c r="Q11" i="90"/>
  <c r="C13" i="90"/>
  <c r="G13" i="90"/>
  <c r="L13" i="90"/>
  <c r="M13" i="90"/>
  <c r="N13" i="90"/>
  <c r="O13" i="90"/>
  <c r="P13" i="90"/>
  <c r="Q13" i="90"/>
  <c r="F14" i="90"/>
  <c r="L14" i="90"/>
  <c r="M14" i="90"/>
  <c r="N14" i="90"/>
  <c r="O14" i="90"/>
  <c r="P14" i="90"/>
  <c r="Q14" i="90"/>
  <c r="F15" i="90"/>
  <c r="F15" i="90" a="1"/>
  <c r="F16" i="90"/>
  <c r="P22" i="90"/>
  <c r="P23" i="90"/>
  <c r="P24" i="90"/>
  <c r="P25" i="90"/>
  <c r="E10" i="74"/>
  <c r="B11" i="74"/>
  <c r="F11" i="74"/>
  <c r="B14" i="74"/>
  <c r="E16" i="74"/>
  <c r="B17" i="74"/>
  <c r="F17" i="74"/>
  <c r="B20" i="74"/>
  <c r="E22" i="74"/>
  <c r="B23" i="74"/>
  <c r="F23" i="74"/>
  <c r="B26" i="74"/>
  <c r="E16" i="73" l="1"/>
  <c r="F16" i="73" s="1"/>
  <c r="G16" i="73" s="1"/>
  <c r="I16" i="73" s="1"/>
  <c r="J47" i="86"/>
  <c r="G13" i="70"/>
  <c r="G25" i="70"/>
  <c r="J7" i="77"/>
  <c r="J37" i="77" s="1"/>
  <c r="J45" i="77" s="1"/>
  <c r="K7" i="77"/>
  <c r="K8" i="77"/>
  <c r="D19" i="70"/>
  <c r="J19" i="70" s="1"/>
  <c r="D13" i="70"/>
  <c r="J13" i="70" s="1"/>
  <c r="C9" i="87"/>
  <c r="D38" i="70"/>
  <c r="D25" i="70"/>
  <c r="C17" i="73"/>
  <c r="D9" i="73"/>
  <c r="B25" i="72"/>
  <c r="E24" i="72"/>
  <c r="J23" i="72"/>
  <c r="K23" i="72"/>
  <c r="J31" i="75"/>
  <c r="K31" i="75"/>
  <c r="J32" i="75"/>
  <c r="K32" i="75"/>
  <c r="J33" i="75"/>
  <c r="K33" i="75"/>
  <c r="J34" i="75"/>
  <c r="K34" i="75"/>
  <c r="J35" i="75"/>
  <c r="K35" i="75"/>
  <c r="B23" i="70"/>
  <c r="K36" i="75"/>
  <c r="J36" i="75"/>
  <c r="E9" i="73" l="1"/>
  <c r="J47" i="77"/>
  <c r="D9" i="87" s="1"/>
  <c r="E9" i="87" s="1"/>
  <c r="D17" i="73"/>
  <c r="B26" i="72"/>
  <c r="E25" i="72"/>
  <c r="K24" i="72"/>
  <c r="J24" i="72"/>
  <c r="C11" i="87"/>
  <c r="B38" i="70"/>
  <c r="B25" i="70"/>
  <c r="J37" i="75"/>
  <c r="J45" i="75" s="1"/>
  <c r="B27" i="72" l="1"/>
  <c r="E26" i="72"/>
  <c r="K25" i="72"/>
  <c r="J25" i="72"/>
  <c r="E6" i="73"/>
  <c r="J47" i="75"/>
  <c r="D11" i="87" s="1"/>
  <c r="E11" i="87" s="1"/>
  <c r="E25" i="74"/>
  <c r="F26" i="74" s="1"/>
  <c r="F9" i="73"/>
  <c r="G9" i="73" s="1"/>
  <c r="I9" i="73" s="1"/>
  <c r="B28" i="72" l="1"/>
  <c r="E27" i="72"/>
  <c r="K26" i="72"/>
  <c r="J26" i="72"/>
  <c r="F6" i="73"/>
  <c r="B29" i="72" l="1"/>
  <c r="E28" i="72"/>
  <c r="K27" i="72"/>
  <c r="J27" i="72"/>
  <c r="E13" i="74"/>
  <c r="G6" i="73"/>
  <c r="B30" i="72" l="1"/>
  <c r="E29" i="72"/>
  <c r="K28" i="72"/>
  <c r="J28" i="72"/>
  <c r="F14" i="74"/>
  <c r="I6" i="73"/>
  <c r="B31" i="72" l="1"/>
  <c r="E30" i="72"/>
  <c r="K29" i="72"/>
  <c r="J29" i="72"/>
  <c r="B32" i="72" l="1"/>
  <c r="E31" i="72"/>
  <c r="K30" i="72"/>
  <c r="J30" i="72"/>
  <c r="B33" i="72" l="1"/>
  <c r="E32" i="72"/>
  <c r="K31" i="72"/>
  <c r="J31" i="72"/>
  <c r="B34" i="72" l="1"/>
  <c r="E33" i="72"/>
  <c r="K32" i="72"/>
  <c r="J32" i="72"/>
  <c r="B35" i="72" l="1"/>
  <c r="E34" i="72"/>
  <c r="K33" i="72"/>
  <c r="J33" i="72"/>
  <c r="B36" i="72" l="1"/>
  <c r="E36" i="72" s="1"/>
  <c r="E35" i="72"/>
  <c r="K34" i="72"/>
  <c r="J34" i="72"/>
  <c r="C23" i="70" l="1"/>
  <c r="K36" i="72"/>
  <c r="J36" i="72"/>
  <c r="K35" i="72"/>
  <c r="J35" i="72"/>
  <c r="J23" i="70" l="1"/>
  <c r="B25" i="69" s="1"/>
  <c r="B26" i="69" s="1"/>
  <c r="C10" i="87"/>
  <c r="C38" i="70"/>
  <c r="C25" i="70"/>
  <c r="J25" i="70" s="1"/>
  <c r="J37" i="72"/>
  <c r="J45" i="72" s="1"/>
  <c r="E8" i="73" l="1"/>
  <c r="J47" i="72"/>
  <c r="D10" i="87" s="1"/>
  <c r="E10" i="87" s="1"/>
  <c r="E13" i="87" s="1"/>
  <c r="J16" i="87" s="1"/>
  <c r="E17" i="73" l="1"/>
  <c r="F8" i="73"/>
  <c r="F17" i="73" l="1"/>
  <c r="B30" i="69" s="1"/>
  <c r="G8" i="73"/>
  <c r="E19" i="74"/>
  <c r="G17" i="73" l="1"/>
  <c r="I8" i="73"/>
  <c r="I17" i="73" s="1"/>
  <c r="E28" i="74"/>
  <c r="F20" i="74"/>
  <c r="F28" i="7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5084D479-4AE2-4887-A323-AB71DEE78F2E}">
      <text>
        <r>
          <rPr>
            <sz val="10"/>
            <color indexed="81"/>
            <rFont val="Calibri"/>
            <family val="2"/>
          </rPr>
          <t>1MK + 1% 
Ist Working Day Of Every Month.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800FA398-E95A-407E-86BE-F0C64A222FF6}">
      <text>
        <r>
          <rPr>
            <sz val="10"/>
            <color indexed="81"/>
            <rFont val="Calibri"/>
            <family val="2"/>
          </rPr>
          <t>6MK + 2% Date of disbursement reset on Last Working Day of each Quarter.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D41C652C-1300-4192-ACF5-358184C003D1}">
      <text>
        <r>
          <rPr>
            <sz val="10"/>
            <color indexed="81"/>
            <rFont val="Calibri"/>
            <family val="2"/>
          </rPr>
          <t>MK+0.75% Prior Day Rate Will Be Used For First Disbursement.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1E004FE4-70BD-45FE-90D0-35774320F154}">
      <text>
        <r>
          <rPr>
            <sz val="10"/>
            <color indexed="81"/>
            <rFont val="Calibri"/>
            <family val="2"/>
          </rPr>
          <t>6MK + 0.15% Last working day rate will be used for disbursement.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F4" authorId="0" shapeId="0" xr:uid="{39A143EE-E0D2-4F5D-821D-24CC958ACECC}">
      <text>
        <r>
          <rPr>
            <sz val="10"/>
            <color indexed="81"/>
            <rFont val="Calibri"/>
            <family val="2"/>
          </rPr>
          <t>3MK + 1.5% Last Business day before the 1st drawndow and subsequently reset each quarter for quarterly profit due.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  <author>Amir Razzaq</author>
  </authors>
  <commentList>
    <comment ref="H4" authorId="0" shapeId="0" xr:uid="{DA1482A0-DF65-4E49-BAB9-27840FEB94CD}">
      <text>
        <r>
          <rPr>
            <sz val="10"/>
            <color indexed="81"/>
            <rFont val="Calibri"/>
            <family val="2"/>
          </rPr>
          <t>3MK + 1.5% Last Business day before the 1st drawndow and subsequently reset each quarter for quarterly profit due.</t>
        </r>
      </text>
    </comment>
    <comment ref="L7" authorId="1" shapeId="0" xr:uid="{BD4FCDB6-0356-428C-8F37-7763DD71F715}">
      <text>
        <r>
          <rPr>
            <b/>
            <sz val="9"/>
            <color indexed="81"/>
            <rFont val="Tahoma"/>
            <family val="2"/>
          </rPr>
          <t>Amir Razzaq:</t>
        </r>
        <r>
          <rPr>
            <sz val="9"/>
            <color indexed="81"/>
            <rFont val="Tahoma"/>
            <family val="2"/>
          </rPr>
          <t xml:space="preserve">
Yet to be confirmed by PBICL Team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B4" authorId="0" shapeId="0" xr:uid="{1392D316-B2E4-4151-9309-A2CEC2A68E0A}">
      <text>
        <r>
          <rPr>
            <b/>
            <sz val="9"/>
            <color indexed="81"/>
            <rFont val="Tahoma"/>
            <family val="2"/>
          </rPr>
          <t>1$ = 156.8 PKR As Per Business Recorder</t>
        </r>
      </text>
    </comment>
    <comment ref="B40" authorId="0" shapeId="0" xr:uid="{FAD13D01-630E-4BA6-BB03-18552FF5A99F}">
      <text>
        <r>
          <rPr>
            <b/>
            <sz val="9"/>
            <color indexed="81"/>
            <rFont val="Tahoma"/>
            <family val="2"/>
          </rPr>
          <t>Rate Defined By Bank Alfalah At Date Of Creation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0018593E-BC9D-4D27-A535-94F99E6A21D9}">
      <text>
        <r>
          <rPr>
            <sz val="9"/>
            <color indexed="81"/>
            <rFont val="Tahoma"/>
            <family val="2"/>
          </rPr>
          <t>3MK+1.00% At The Date Of Creation Of FATR TO Be applied For Whole Period.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5454CCAF-2524-49AA-A46D-9FD4AB04E9DA}">
      <text>
        <r>
          <rPr>
            <sz val="10"/>
            <color indexed="81"/>
            <rFont val="Calibri"/>
            <family val="2"/>
          </rPr>
          <t>3 Month KIBOR Of Last Working Day Of Preceding Calendar Quarter To Be Applicable For Whole Quarter (Quarterly Charged).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90F99BB5-6464-4EAC-BC93-CE80024F2AFE}">
      <text>
        <r>
          <rPr>
            <sz val="10"/>
            <color indexed="81"/>
            <rFont val="Calibri"/>
            <family val="2"/>
          </rPr>
          <t xml:space="preserve">1MK+1.00% Same Day Rate Will Be Used For First Disbursement.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816F9EBB-6BC8-4DCE-AFBF-0D54A72C16B3}">
      <text>
        <r>
          <rPr>
            <sz val="10"/>
            <color indexed="81"/>
            <rFont val="Calibri"/>
            <family val="2"/>
          </rPr>
          <t xml:space="preserve">3MK + 0.75% Last Working Day Of each Quarter.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902B2893-85F0-4D40-A790-3198F4BEEB61}">
      <text>
        <r>
          <rPr>
            <sz val="10"/>
            <color indexed="81"/>
            <rFont val="Calibri"/>
            <family val="2"/>
          </rPr>
          <t xml:space="preserve">MK+0.75% Prior Day Rate Will Be Used For First Disbursement, Then Last Working day of each month / quarter or Semi-Annualy (Quarterly Charged).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5AE54F05-AE0A-4FB6-88AF-57C6BB9CD3C4}">
      <text>
        <r>
          <rPr>
            <sz val="10"/>
            <color indexed="81"/>
            <rFont val="Calibri"/>
            <family val="2"/>
          </rPr>
          <t>3MK + 1.25% Date of disbursement reset on Last Working Day of each Quarter.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B9F6BB1E-D487-4042-82B2-9091B94B5C73}">
      <text>
        <r>
          <rPr>
            <sz val="10"/>
            <color indexed="81"/>
            <rFont val="Calibri"/>
            <family val="2"/>
          </rPr>
          <t>6MK+1.25% Previous day Rate will be applied for whole period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3CEF6160-4920-41FB-BD03-E2D0DECF900A}">
      <text>
        <r>
          <rPr>
            <sz val="10"/>
            <color indexed="81"/>
            <rFont val="Calibri"/>
            <family val="2"/>
          </rPr>
          <t>6MK+1.25% Date of disbursement applied for whole period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A3BBD7E8-0648-472A-AD0A-E4D302DBFC7E}">
      <text>
        <r>
          <rPr>
            <sz val="10"/>
            <color indexed="81"/>
            <rFont val="Calibri"/>
            <family val="2"/>
          </rPr>
          <t>6MK + 2% Date of disbursement reset on Last Working Day of each Quarter.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40" authorId="0" shapeId="0" xr:uid="{BFD5047F-AF5E-429E-BA70-EF4C2F8650E1}">
      <text>
        <r>
          <rPr>
            <sz val="10"/>
            <color indexed="81"/>
            <rFont val="Calibri"/>
            <family val="2"/>
          </rPr>
          <t xml:space="preserve">MK+0.75% Prior Day Rate Will Be Used For First Disbursement, Then Last Working day of each month / quarter or Semi-Annualy (Quarterly Charged).
</t>
        </r>
      </text>
    </comment>
  </commentList>
</comments>
</file>

<file path=xl/sharedStrings.xml><?xml version="1.0" encoding="utf-8"?>
<sst xmlns="http://schemas.openxmlformats.org/spreadsheetml/2006/main" count="764" uniqueCount="349">
  <si>
    <t>Total</t>
  </si>
  <si>
    <t>Balance</t>
  </si>
  <si>
    <t>J. N. No.</t>
  </si>
  <si>
    <t>JOURNAL VOUCHER</t>
  </si>
  <si>
    <t>Date</t>
  </si>
  <si>
    <t>Line</t>
  </si>
  <si>
    <t>Text</t>
  </si>
  <si>
    <t>Debit</t>
  </si>
  <si>
    <t>Credit</t>
  </si>
  <si>
    <t>No.</t>
  </si>
  <si>
    <t>Rs.</t>
  </si>
  <si>
    <t>Adjustments</t>
  </si>
  <si>
    <t>Dr.</t>
  </si>
  <si>
    <t>Cr.</t>
  </si>
  <si>
    <t>H. N. No.</t>
  </si>
  <si>
    <t>General Ledger</t>
  </si>
  <si>
    <t>A/C #</t>
  </si>
  <si>
    <t>F. J. No.</t>
  </si>
  <si>
    <t>Total Provision</t>
  </si>
  <si>
    <t>Opening Balance</t>
  </si>
  <si>
    <t>Current Provision</t>
  </si>
  <si>
    <t>Net Provision</t>
  </si>
  <si>
    <t>SETTLEMENT DURING THE MONTH</t>
  </si>
  <si>
    <t>PRINCIPAL AMOUNT:</t>
  </si>
  <si>
    <t>SETTLEMENT:</t>
  </si>
  <si>
    <t>Bank</t>
  </si>
  <si>
    <t>Total Markup</t>
  </si>
  <si>
    <t>Total Financial Cost</t>
  </si>
  <si>
    <t>Provision Short (Excess)</t>
  </si>
  <si>
    <t>Manual Adjustment</t>
  </si>
  <si>
    <t>Actual Opening Markup</t>
  </si>
  <si>
    <t>Total Markup Due</t>
  </si>
  <si>
    <t>Markup Paid</t>
  </si>
  <si>
    <t>Closing Balance</t>
  </si>
  <si>
    <t xml:space="preserve">Nimir Resins Limited </t>
  </si>
  <si>
    <t>Additional Provision Required</t>
  </si>
  <si>
    <t>Opening As Per Books</t>
  </si>
  <si>
    <t>Net Expenses For The Month</t>
  </si>
  <si>
    <t>Payment For The Month</t>
  </si>
  <si>
    <t>Al-Baraka Bank-FATR</t>
  </si>
  <si>
    <t>Payment against Opening(Quarterly Charged)</t>
  </si>
  <si>
    <t>Provision For The Month</t>
  </si>
  <si>
    <t xml:space="preserve">3 Month KIBOR </t>
  </si>
  <si>
    <t>PROVISION AMOUNT:</t>
  </si>
  <si>
    <t xml:space="preserve">TOTAL </t>
  </si>
  <si>
    <t>BOP</t>
  </si>
  <si>
    <t>SETTLEMENT DURING THE MONTH:</t>
  </si>
  <si>
    <t xml:space="preserve">Financial Summary </t>
  </si>
  <si>
    <t>DESCRIPTION</t>
  </si>
  <si>
    <t xml:space="preserve">ISTISNA/LC LIMIT REMAINING </t>
  </si>
  <si>
    <t>RF-LIMIT</t>
  </si>
  <si>
    <t>RF UTILIZED</t>
  </si>
  <si>
    <t>RF LIMIT AVAILABLE</t>
  </si>
  <si>
    <t>Mark-Up Paid</t>
  </si>
  <si>
    <t>CONTRACT</t>
  </si>
  <si>
    <t>Mark-Up Rates</t>
  </si>
  <si>
    <t>Nimir Industrial Chemicals Limited</t>
  </si>
  <si>
    <t>PRINCIPAL US$:</t>
  </si>
  <si>
    <t>Exchange Rate</t>
  </si>
  <si>
    <t>INTEREST US$:</t>
  </si>
  <si>
    <t>Interest (LIBOR+SPREAD)</t>
  </si>
  <si>
    <t>INTEREST PROVISION</t>
  </si>
  <si>
    <t>Provision For Mark-Up In US$</t>
  </si>
  <si>
    <t>Closing Exchange Rate</t>
  </si>
  <si>
    <t>Provision For Mark-Up In PKR</t>
  </si>
  <si>
    <t>Net Provision Required</t>
  </si>
  <si>
    <t>Mark-Up Payable - Opening Balance</t>
  </si>
  <si>
    <t>&lt; Pls Change This Figure Every Month</t>
  </si>
  <si>
    <t>Mark-Up Payable - Closing Balance</t>
  </si>
  <si>
    <t>EXCHANGE LOSS ON PRINCIPAL</t>
  </si>
  <si>
    <t>Principal Amount In US$</t>
  </si>
  <si>
    <t>&lt; Pls Change The Link To The Last Row Of Dollar Principal Amount</t>
  </si>
  <si>
    <t>Principal At Closing Exch Rate</t>
  </si>
  <si>
    <t>Outstanding Principal - Original Rate</t>
  </si>
  <si>
    <t>&lt; Pls Change The Formula And Link To The Last Row In The Linked Data</t>
  </si>
  <si>
    <t>Total Exchange Loss/Gain</t>
  </si>
  <si>
    <t>Exchange Loss Provision Already Available (Opening)</t>
  </si>
  <si>
    <t>Adjusted  Rate</t>
  </si>
  <si>
    <t>Exchange Loss - Adjustment On Settlement</t>
  </si>
  <si>
    <t>Net Exchange Loss Provisiion Available</t>
  </si>
  <si>
    <t>Net Exchange Loss Provision To Be provided</t>
  </si>
  <si>
    <t>FX Loss (Gain) Debited On Loans Settled</t>
  </si>
  <si>
    <t>Net Exchange Loss For The Month</t>
  </si>
  <si>
    <t>Loans Settled (Rs) - Original Amount</t>
  </si>
  <si>
    <t>Loans Settled (Rs) - Last Month End</t>
  </si>
  <si>
    <t>Actual Amount Paid</t>
  </si>
  <si>
    <t>Exchange Loss (Gain) - Adjustment</t>
  </si>
  <si>
    <t>Exchange Loss (Gain) - Debited</t>
  </si>
  <si>
    <t>Adjustment For Accounts Purpose</t>
  </si>
  <si>
    <t>Exchange Loss - Last Month End</t>
  </si>
  <si>
    <t>Exchange Loss - Provision For The Month</t>
  </si>
  <si>
    <t>Exchange Loss - Current Month End</t>
  </si>
  <si>
    <t>FATR/FE-25/ISTISNA/MUSAWAMAH LIMIT REMAINING</t>
  </si>
  <si>
    <t>PRINCIPAL ADJUSTMNET</t>
  </si>
  <si>
    <t>DATE</t>
  </si>
  <si>
    <t>INFLOW</t>
  </si>
  <si>
    <t>OUTFLOW</t>
  </si>
  <si>
    <t>Balance B/F</t>
  </si>
  <si>
    <t>TOTAL</t>
  </si>
  <si>
    <t>FATR/ISTISNA/MUSAWAMAH LIMIT UTILIZED</t>
  </si>
  <si>
    <t>SIGHT LC LIMIT UTILIZED</t>
  </si>
  <si>
    <t>DA/USANCE LC LIMIT UTILIZED</t>
  </si>
  <si>
    <t>FE-25 LIMIT UTILIZED</t>
  </si>
  <si>
    <t>FATR/ISTISNA/MUSAWAMAH LIMIT</t>
  </si>
  <si>
    <t xml:space="preserve">Monthly/Quarterly Mark-Up Payments </t>
  </si>
  <si>
    <t>Outflow Discreption</t>
  </si>
  <si>
    <t xml:space="preserve">Duty Payments </t>
  </si>
  <si>
    <t>Inflow Discreption</t>
  </si>
  <si>
    <t xml:space="preserve">                           CASH INFLOW &amp; OUTFLOW SUMMARY</t>
  </si>
  <si>
    <t>Inward Clearing (Debtor CHQs + Cash Sales)</t>
  </si>
  <si>
    <t>Tax Payments (Income + Sales)</t>
  </si>
  <si>
    <t xml:space="preserve">Utility Bill Payments </t>
  </si>
  <si>
    <t>Dividend Payment</t>
  </si>
  <si>
    <t>Lease Payments</t>
  </si>
  <si>
    <t>Financial Cost - BOP (RF)</t>
  </si>
  <si>
    <t>Financial Cost - BOP (FATR)</t>
  </si>
  <si>
    <t>Financial Cost - Bank Al-Falah (FE-25)</t>
  </si>
  <si>
    <t>(Salary + Bonous) Payments</t>
  </si>
  <si>
    <t>Bank Rate</t>
  </si>
  <si>
    <t>Rate Of Interest</t>
  </si>
  <si>
    <t>Mark-Up Provision</t>
  </si>
  <si>
    <t>Statement Balance</t>
  </si>
  <si>
    <t>Balance For Valuation</t>
  </si>
  <si>
    <t>LC Charges</t>
  </si>
  <si>
    <t>Misc. Charges/Payments</t>
  </si>
  <si>
    <t>Mark-Up Rate (3MK+1.00%)</t>
  </si>
  <si>
    <t>AVAILABLE BALANCE</t>
  </si>
  <si>
    <t>FATR/FE.25 Adjustments (Mark-Up + Principal)</t>
  </si>
  <si>
    <t>USANCE LC O/S</t>
  </si>
  <si>
    <t>USANCE LC VS FATR P/L</t>
  </si>
  <si>
    <t>USANCE LC FOREX G/L</t>
  </si>
  <si>
    <t xml:space="preserve">NET USANCE LC BENEFIT </t>
  </si>
  <si>
    <t>FATR/FE-25 LIMIT</t>
  </si>
  <si>
    <t>FATR O/S</t>
  </si>
  <si>
    <t>FE-25 O/S</t>
  </si>
  <si>
    <t>FE-25 VS FATR P/L</t>
  </si>
  <si>
    <t>FE-25 FOREX G/L</t>
  </si>
  <si>
    <t>NET FE-25 BENEFIT</t>
  </si>
  <si>
    <t xml:space="preserve">RF LIMIT </t>
  </si>
  <si>
    <t>LTL O/S</t>
  </si>
  <si>
    <t xml:space="preserve">FINANCIAL COST </t>
  </si>
  <si>
    <t>STOCKS (R+T)</t>
  </si>
  <si>
    <t>STOCKS (F)</t>
  </si>
  <si>
    <t xml:space="preserve">RECEIVABLES </t>
  </si>
  <si>
    <t>INTER BANK OFFER RATE ON 30-04-2020 IN B RECORDER</t>
  </si>
  <si>
    <t>Net Provision For The Month</t>
  </si>
  <si>
    <t>Vendor/(Suppliers) Payments</t>
  </si>
  <si>
    <t>Long Term Loan Principal + Mark-Up Repayment</t>
  </si>
  <si>
    <t>Advance Payments + Conracts + LCs (S+U) Retirement + Guarantee Payments + Margins Held + TT Payments</t>
  </si>
  <si>
    <t>28.02.2021</t>
  </si>
  <si>
    <t xml:space="preserve"> Provision Of Mark-Up For The Month of February-2021</t>
  </si>
  <si>
    <t>002FATR00071795 (C.D 22.02.2021, M.D 22.06.2021)</t>
  </si>
  <si>
    <t xml:space="preserve">NIMIR CHEMCOATS LIMITED </t>
  </si>
  <si>
    <t xml:space="preserve">                                      NIMIR CHEMCOATS LIMITED
</t>
  </si>
  <si>
    <t>Equity Sponsorship</t>
  </si>
  <si>
    <t>SONERI</t>
  </si>
  <si>
    <t>Financial Cost - Soneri Bank (FATR)</t>
  </si>
  <si>
    <t>Financial Cost - Soneri Bank (RF)</t>
  </si>
  <si>
    <t>Statement</t>
  </si>
  <si>
    <t>Balance for</t>
  </si>
  <si>
    <t xml:space="preserve">Bank </t>
  </si>
  <si>
    <t>Rate of</t>
  </si>
  <si>
    <t>Markup</t>
  </si>
  <si>
    <t>Valuation</t>
  </si>
  <si>
    <t>Rate</t>
  </si>
  <si>
    <t>Interest</t>
  </si>
  <si>
    <t>Provision</t>
  </si>
  <si>
    <t>LC LIMIT</t>
  </si>
  <si>
    <t>SIGHT LC O/S</t>
  </si>
  <si>
    <t>TDR IN HAND</t>
  </si>
  <si>
    <t>Soneri Bank - FATR</t>
  </si>
  <si>
    <t>Soneri Bank - RF</t>
  </si>
  <si>
    <t>Soneri-FATR</t>
  </si>
  <si>
    <t>Soneri-RF</t>
  </si>
  <si>
    <t xml:space="preserve">Nimir Chemcoats Limited </t>
  </si>
  <si>
    <t>MCB</t>
  </si>
  <si>
    <t>1MK+1.00%</t>
  </si>
  <si>
    <t>Financial Cost - MCB Bank (RF)</t>
  </si>
  <si>
    <t>Mark-Up Rate (1MK+1.00%)</t>
  </si>
  <si>
    <t>Misc</t>
  </si>
  <si>
    <t>UTILISED</t>
  </si>
  <si>
    <t>UN-UTILISED</t>
  </si>
  <si>
    <t>MCB Bank - FATR</t>
  </si>
  <si>
    <t>MCB Bank - RF</t>
  </si>
  <si>
    <t>MCB-FATR</t>
  </si>
  <si>
    <t>MCB-RF</t>
  </si>
  <si>
    <t>Financial Cost - MCB Bank (FATR)</t>
  </si>
  <si>
    <t>1 Month KIBOR + 1%</t>
  </si>
  <si>
    <t>3 Month KIBOR + 0.75%</t>
  </si>
  <si>
    <t>OVER THE LIMIT &amp; CURRENT ACCOUNT BALANCE</t>
  </si>
  <si>
    <t>MEEZAN</t>
  </si>
  <si>
    <t>SIGHT LC</t>
  </si>
  <si>
    <t>TOTAL LC R/L</t>
  </si>
  <si>
    <t xml:space="preserve">FIGURES IN MILLION </t>
  </si>
  <si>
    <t xml:space="preserve">DESCRIPTION </t>
  </si>
  <si>
    <t>6MK+1.25%</t>
  </si>
  <si>
    <t>BOP-FATR</t>
  </si>
  <si>
    <t>BOP-RF</t>
  </si>
  <si>
    <t>BOP - RF</t>
  </si>
  <si>
    <t>BOP - FATR</t>
  </si>
  <si>
    <t xml:space="preserve">KIBOR RATE </t>
  </si>
  <si>
    <t>FOREX RATE</t>
  </si>
  <si>
    <t>RF</t>
  </si>
  <si>
    <t>CL</t>
  </si>
  <si>
    <t>Mark-Up Rate (MK+0.75%)</t>
  </si>
  <si>
    <t>3 Month KIBOR + 1.25%</t>
  </si>
  <si>
    <t>Mark-Up Rate (6MK+1.25%)</t>
  </si>
  <si>
    <t>6MK+2%</t>
  </si>
  <si>
    <t>Mark-Up Rate (6MK+2%)</t>
  </si>
  <si>
    <t>6 Month KIBOR + 2%</t>
  </si>
  <si>
    <t>Financial Cost - PBICL (LTF)</t>
  </si>
  <si>
    <t>LTF-1</t>
  </si>
  <si>
    <t>3 Month KIBOR + 1.5%</t>
  </si>
  <si>
    <t>BIPL</t>
  </si>
  <si>
    <t>Financial Cost - BIPL (FATR)</t>
  </si>
  <si>
    <t>Financial Cost - BIPL (RF)</t>
  </si>
  <si>
    <t>BIPL - RF</t>
  </si>
  <si>
    <t>BIPL - FATR</t>
  </si>
  <si>
    <t>PBICL - LT</t>
  </si>
  <si>
    <t>Start Date</t>
  </si>
  <si>
    <t>Maturity Date</t>
  </si>
  <si>
    <t>No of Days</t>
  </si>
  <si>
    <t>Quarterly</t>
  </si>
  <si>
    <t>Installment</t>
  </si>
  <si>
    <t>Total Quarterly</t>
  </si>
  <si>
    <t>LTF-I</t>
  </si>
  <si>
    <t>PKR</t>
  </si>
  <si>
    <t xml:space="preserve">Total </t>
  </si>
  <si>
    <t>Bank Markup</t>
  </si>
  <si>
    <t>Difference</t>
  </si>
  <si>
    <t xml:space="preserve">PBICL - Repayment Schedule </t>
  </si>
  <si>
    <t>NBP - ISLAMIC</t>
  </si>
  <si>
    <t>6 Month KIBOR + 0.65%</t>
  </si>
  <si>
    <t>6MK+0.65%</t>
  </si>
  <si>
    <t>NBP - ISLAMIC (ISTISNA)</t>
  </si>
  <si>
    <t>DD# 038         
C.D 08-09-2025 M.D 06-01-2025</t>
  </si>
  <si>
    <t>BOP RF</t>
  </si>
  <si>
    <t>SONERI RF</t>
  </si>
  <si>
    <t>MCB RF</t>
  </si>
  <si>
    <t>PRINCIPLE</t>
  </si>
  <si>
    <t>MARK UP</t>
  </si>
  <si>
    <t>SONERI FATR</t>
  </si>
  <si>
    <t>DD# 039         
C.D 19-09-2025 M.D 17-01-2025</t>
  </si>
  <si>
    <t>LD2522310365
C.D 11.08.2025 M.D. 07.02.2026</t>
  </si>
  <si>
    <t>LD2525384440
C.D 10.09.2025 M.D. 09.03.2026</t>
  </si>
  <si>
    <t>LD2526904090
C.D 26.09.2025 M.D. 25.03.2026</t>
  </si>
  <si>
    <t>LD2526960933
C.D 26.09.2025 M.D. 25.03.2026</t>
  </si>
  <si>
    <t>DD# 040         
C.D 03-10-2025 M.D 31-01-2025</t>
  </si>
  <si>
    <t>CLEARED</t>
  </si>
  <si>
    <t>MBL</t>
  </si>
  <si>
    <t>Financial Cost - Meezan Bank (Musawammah)</t>
  </si>
  <si>
    <t>MK+0.75%</t>
  </si>
  <si>
    <t>MBL-Musawammah</t>
  </si>
  <si>
    <t>SHEET FOR EX LOSS / FE-25 / FATR</t>
  </si>
  <si>
    <t>Dollar Rate</t>
  </si>
  <si>
    <t>CNY</t>
  </si>
  <si>
    <t>DATED</t>
  </si>
  <si>
    <t>BANK</t>
  </si>
  <si>
    <t>B/L DATE</t>
  </si>
  <si>
    <t xml:space="preserve">LC USANCE </t>
  </si>
  <si>
    <t xml:space="preserve">MATURITY </t>
  </si>
  <si>
    <t>CURRENCY</t>
  </si>
  <si>
    <t>PKR LOAN</t>
  </si>
  <si>
    <t>FORWARD COVER</t>
  </si>
  <si>
    <t>DAYS</t>
  </si>
  <si>
    <t>FATR M.UP</t>
  </si>
  <si>
    <t>TOTAL FATR</t>
  </si>
  <si>
    <t>NET GAIN</t>
  </si>
  <si>
    <t>RATE DIFF.</t>
  </si>
  <si>
    <t>EXCHANGE</t>
  </si>
  <si>
    <t>NET PROFIT AFTER ALL</t>
  </si>
  <si>
    <t>blank</t>
  </si>
  <si>
    <t xml:space="preserve">DAYS </t>
  </si>
  <si>
    <t>USD /CNY</t>
  </si>
  <si>
    <t>BOOKING RATE</t>
  </si>
  <si>
    <t>PER DAY</t>
  </si>
  <si>
    <t>M.UP</t>
  </si>
  <si>
    <t>IN M-UP</t>
  </si>
  <si>
    <t>LOSS</t>
  </si>
  <si>
    <t>LOSS/GAIN</t>
  </si>
  <si>
    <t>ADJUSTMENT</t>
  </si>
  <si>
    <t>Soneri</t>
  </si>
  <si>
    <t>retier</t>
  </si>
  <si>
    <t>Retire</t>
  </si>
  <si>
    <t>Open</t>
  </si>
  <si>
    <t>KIBOR</t>
  </si>
  <si>
    <t>1MK</t>
  </si>
  <si>
    <t>3MK</t>
  </si>
  <si>
    <t>6MK</t>
  </si>
  <si>
    <t>HBL</t>
  </si>
  <si>
    <t>Investment</t>
  </si>
  <si>
    <t>Retired</t>
  </si>
  <si>
    <t xml:space="preserve">Disbursement Date </t>
  </si>
  <si>
    <t>Tenor</t>
  </si>
  <si>
    <t>Amount</t>
  </si>
  <si>
    <t xml:space="preserve">
C.D 26.12.2025 M.D. 24.06.2026</t>
  </si>
  <si>
    <t xml:space="preserve">Rate </t>
  </si>
  <si>
    <t>NBP</t>
  </si>
  <si>
    <t>SKD 4</t>
  </si>
  <si>
    <t>SKD 3</t>
  </si>
  <si>
    <t xml:space="preserve">Full </t>
  </si>
  <si>
    <t>Advance USD</t>
  </si>
  <si>
    <t>Advance PKR</t>
  </si>
  <si>
    <t>LC USD</t>
  </si>
  <si>
    <t>LC PKR</t>
  </si>
  <si>
    <t>MEZN</t>
  </si>
  <si>
    <t>Sr. No.</t>
  </si>
  <si>
    <t>Product Name</t>
  </si>
  <si>
    <t>ES-BOX12</t>
  </si>
  <si>
    <t>ES-BOX12 MAX</t>
  </si>
  <si>
    <t>Performa Amount</t>
  </si>
  <si>
    <t>ES-BOX12S</t>
  </si>
  <si>
    <t>ES-BOX12PLUS</t>
  </si>
  <si>
    <t>ES-BOX12MAX</t>
  </si>
  <si>
    <t>STATUS</t>
  </si>
  <si>
    <t>Single Performa</t>
  </si>
  <si>
    <t>One Performa</t>
  </si>
  <si>
    <t>Second Performa</t>
  </si>
  <si>
    <t>Third Performa</t>
  </si>
  <si>
    <t>SKD 3 &amp; 4</t>
  </si>
  <si>
    <t>Energy LC's Open in NCCL on 12/02/2026</t>
  </si>
  <si>
    <t>LD2602762446
C.D 13.02.2026 M.D. 12.08.2026</t>
  </si>
  <si>
    <t>LD2602762447
C.D 13.02.2026 M.D. 12.08.2026</t>
  </si>
  <si>
    <t>3MK+0.75%</t>
  </si>
  <si>
    <t>6MK+0.75%</t>
  </si>
  <si>
    <t>3MK+1.25%</t>
  </si>
  <si>
    <t>3MK+0.65%</t>
  </si>
  <si>
    <t>FAYSAL</t>
  </si>
  <si>
    <t>MK+0.15%</t>
  </si>
  <si>
    <t>ASKARI</t>
  </si>
  <si>
    <t>1 MK + 0.75 %</t>
  </si>
  <si>
    <t>1 MK + 1.00 %</t>
  </si>
  <si>
    <t>Financial Cost - FAYSAL BANK (ISTISNA)</t>
  </si>
  <si>
    <t>FBL - ISTISNA</t>
  </si>
  <si>
    <t>6 Month KIBOR + 0.15%</t>
  </si>
  <si>
    <t>Financial Cost - Faysal Bank (Istisna)</t>
  </si>
  <si>
    <t>Mark-Up Rate (MK+0.15%)</t>
  </si>
  <si>
    <t>Disbursement 1
C.D 26.03.2026 M.D. 22.09.2026</t>
  </si>
  <si>
    <t>1398LCS260362        C.D 28-04-2026 M.D 26-08-2026</t>
  </si>
  <si>
    <t>002LCFS260760503
C.D 20-04-2026 M.D 18-08-2026</t>
  </si>
  <si>
    <t>05.05.2026</t>
  </si>
  <si>
    <t xml:space="preserve"> Provision Of Mark-Up For The Month of May-2026</t>
  </si>
  <si>
    <t>12.17/1MK</t>
  </si>
  <si>
    <t>12.42/3MK</t>
  </si>
  <si>
    <t>12.56/6MK</t>
  </si>
  <si>
    <t>002FATR00206533
C.D 20-05-2026 M.D 17-09-2026</t>
  </si>
  <si>
    <t>002FATR00206585
C.D 20-05-2026 M.D 17-09-2026</t>
  </si>
  <si>
    <t>Financial Cost - NBP ISLAMIC (Running Musharaka)</t>
  </si>
  <si>
    <t xml:space="preserve">                                                 July-2026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</si>
</sst>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Rs&quot;* #,##0.00_-;\-&quot;Rs&quot;* #,##0.00_-;_-&quot;Rs&quot;* &quot;-&quot;??_-;_-@_-"/>
    <numFmt numFmtId="43" formatCode="_-* #,##0.00_-;\-* #,##0.00_-;_-* &quot;-&quot;??_-;_-@_-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General_);[Red]\-General_)"/>
    <numFmt numFmtId="173" formatCode="mm\/dd\/yy_)"/>
    <numFmt numFmtId="174" formatCode="dd/mmm/yy_)"/>
    <numFmt numFmtId="175" formatCode="[$-409]d\-mmm\-yy;@"/>
    <numFmt numFmtId="176" formatCode="0.0000%"/>
    <numFmt numFmtId="182" formatCode="_ [$¥-804]* #,##0.00_ ;_ [$¥-804]* \-#,##0.00_ ;_ [$¥-804]* &quot;-&quot;??_ ;_ @_ "/>
    <numFmt numFmtId="184" formatCode="_(* #,##0_);_(* \(#,##0\);_(* &quot;-&quot;??_);_(@_)"/>
    <numFmt numFmtId="185" formatCode="_(* #,##0.000000_);_(* \(#,##0.000000\);_(* &quot;-&quot;??????_);_(@_)"/>
    <numFmt numFmtId="186" formatCode="0.000000%"/>
    <numFmt numFmtId="188" formatCode="[$-409]d\-mmm\-yyyy;@"/>
    <numFmt numFmtId="190" formatCode="_([$PKR]\ * #,##0.00_);_([$PKR]\ * \(#,##0.00\);_([$PKR]\ * &quot;-&quot;??_);_(@_)"/>
    <numFmt numFmtId="192" formatCode="[$-F800]dddd\,\ mmmm\ dd\,\ yyyy"/>
    <numFmt numFmtId="198" formatCode="_-[$PKR]\ * #,##0.00_-;\-[$PKR]\ * #,##0.00_-;_-[$PKR]\ * &quot;-&quot;??_-;_-@_-"/>
  </numFmts>
  <fonts count="65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.8"/>
      <color indexed="12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color indexed="10"/>
      <name val="Calibri"/>
      <family val="2"/>
    </font>
    <font>
      <sz val="8"/>
      <name val="Arial"/>
      <family val="2"/>
    </font>
    <font>
      <b/>
      <sz val="10"/>
      <color indexed="3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sz val="14"/>
      <color indexed="30"/>
      <name val="Calibri"/>
      <family val="2"/>
    </font>
    <font>
      <b/>
      <sz val="20"/>
      <name val="Calibri"/>
      <family val="2"/>
    </font>
    <font>
      <b/>
      <sz val="16"/>
      <name val="Calibri"/>
      <family val="2"/>
    </font>
    <font>
      <sz val="10"/>
      <color indexed="81"/>
      <name val="Calibri"/>
      <family val="2"/>
    </font>
    <font>
      <sz val="9"/>
      <color indexed="81"/>
      <name val="Tahoma"/>
      <family val="2"/>
    </font>
    <font>
      <b/>
      <sz val="9"/>
      <name val="Calibri"/>
      <family val="2"/>
    </font>
    <font>
      <b/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0"/>
      <name val="Segoe UI"/>
      <family val="2"/>
    </font>
    <font>
      <sz val="10"/>
      <color indexed="12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8"/>
      <color rgb="FF222222"/>
      <name val="Century Gothic"/>
      <family val="2"/>
    </font>
    <font>
      <sz val="10"/>
      <color rgb="FF22222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u/>
      <sz val="9"/>
      <color rgb="FFFF0000"/>
      <name val="Arial"/>
      <family val="2"/>
    </font>
    <font>
      <b/>
      <u/>
      <sz val="8"/>
      <color theme="3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Arial"/>
      <family val="2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22"/>
      </patternFill>
    </fill>
  </fills>
  <borders count="10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3">
    <xf numFmtId="0" fontId="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4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7">
    <xf numFmtId="0" fontId="0" fillId="0" borderId="0" xfId="0"/>
    <xf numFmtId="171" fontId="7" fillId="2" borderId="0" xfId="1" applyFont="1" applyFill="1"/>
    <xf numFmtId="0" fontId="7" fillId="2" borderId="0" xfId="0" applyFont="1" applyFill="1"/>
    <xf numFmtId="174" fontId="7" fillId="2" borderId="0" xfId="0" applyNumberFormat="1" applyFont="1" applyFill="1" applyAlignment="1" applyProtection="1">
      <alignment horizontal="center"/>
    </xf>
    <xf numFmtId="171" fontId="7" fillId="2" borderId="1" xfId="1" applyFont="1" applyFill="1" applyBorder="1"/>
    <xf numFmtId="175" fontId="7" fillId="2" borderId="2" xfId="0" applyNumberFormat="1" applyFont="1" applyFill="1" applyBorder="1" applyAlignment="1" applyProtection="1">
      <alignment horizontal="center"/>
    </xf>
    <xf numFmtId="0" fontId="8" fillId="2" borderId="0" xfId="0" applyFont="1" applyFill="1"/>
    <xf numFmtId="0" fontId="8" fillId="2" borderId="3" xfId="0" applyFont="1" applyFill="1" applyBorder="1"/>
    <xf numFmtId="0" fontId="6" fillId="3" borderId="4" xfId="0" applyFont="1" applyFill="1" applyBorder="1"/>
    <xf numFmtId="171" fontId="6" fillId="3" borderId="5" xfId="1" applyFont="1" applyFill="1" applyBorder="1"/>
    <xf numFmtId="175" fontId="6" fillId="2" borderId="2" xfId="0" applyNumberFormat="1" applyFont="1" applyFill="1" applyBorder="1" applyAlignment="1" applyProtection="1"/>
    <xf numFmtId="175" fontId="6" fillId="2" borderId="6" xfId="0" applyNumberFormat="1" applyFont="1" applyFill="1" applyBorder="1" applyAlignment="1" applyProtection="1"/>
    <xf numFmtId="171" fontId="7" fillId="2" borderId="5" xfId="1" applyFont="1" applyFill="1" applyBorder="1"/>
    <xf numFmtId="171" fontId="7" fillId="2" borderId="1" xfId="1" applyFont="1" applyFill="1" applyBorder="1" applyProtection="1"/>
    <xf numFmtId="10" fontId="7" fillId="2" borderId="7" xfId="11" applyNumberFormat="1" applyFont="1" applyFill="1" applyBorder="1"/>
    <xf numFmtId="10" fontId="7" fillId="2" borderId="8" xfId="11" applyNumberFormat="1" applyFont="1" applyFill="1" applyBorder="1"/>
    <xf numFmtId="10" fontId="7" fillId="2" borderId="9" xfId="11" applyNumberFormat="1" applyFont="1" applyFill="1" applyBorder="1" applyAlignment="1" applyProtection="1">
      <alignment horizontal="center"/>
    </xf>
    <xf numFmtId="39" fontId="7" fillId="2" borderId="10" xfId="0" applyNumberFormat="1" applyFont="1" applyFill="1" applyBorder="1" applyProtection="1"/>
    <xf numFmtId="39" fontId="6" fillId="4" borderId="2" xfId="0" applyNumberFormat="1" applyFont="1" applyFill="1" applyBorder="1" applyProtection="1"/>
    <xf numFmtId="0" fontId="7" fillId="3" borderId="11" xfId="0" applyFont="1" applyFill="1" applyBorder="1"/>
    <xf numFmtId="0" fontId="7" fillId="2" borderId="12" xfId="0" applyFont="1" applyFill="1" applyBorder="1"/>
    <xf numFmtId="171" fontId="7" fillId="2" borderId="5" xfId="0" applyNumberFormat="1" applyFont="1" applyFill="1" applyBorder="1"/>
    <xf numFmtId="0" fontId="13" fillId="2" borderId="0" xfId="0" applyFont="1" applyFill="1"/>
    <xf numFmtId="172" fontId="12" fillId="2" borderId="0" xfId="0" applyNumberFormat="1" applyFont="1" applyFill="1" applyProtection="1"/>
    <xf numFmtId="172" fontId="14" fillId="2" borderId="0" xfId="0" applyNumberFormat="1" applyFont="1" applyFill="1" applyAlignment="1" applyProtection="1">
      <alignment horizontal="center"/>
    </xf>
    <xf numFmtId="172" fontId="14" fillId="2" borderId="0" xfId="0" applyNumberFormat="1" applyFont="1" applyFill="1" applyProtection="1"/>
    <xf numFmtId="172" fontId="12" fillId="0" borderId="0" xfId="0" applyNumberFormat="1" applyFont="1" applyProtection="1"/>
    <xf numFmtId="172" fontId="14" fillId="5" borderId="13" xfId="0" applyNumberFormat="1" applyFont="1" applyFill="1" applyBorder="1" applyAlignment="1" applyProtection="1">
      <alignment horizontal="center"/>
    </xf>
    <xf numFmtId="172" fontId="12" fillId="2" borderId="14" xfId="0" applyNumberFormat="1" applyFont="1" applyFill="1" applyBorder="1" applyProtection="1"/>
    <xf numFmtId="172" fontId="12" fillId="2" borderId="15" xfId="0" applyNumberFormat="1" applyFont="1" applyFill="1" applyBorder="1" applyProtection="1"/>
    <xf numFmtId="172" fontId="14" fillId="2" borderId="15" xfId="0" applyNumberFormat="1" applyFont="1" applyFill="1" applyBorder="1" applyProtection="1"/>
    <xf numFmtId="172" fontId="12" fillId="5" borderId="2" xfId="0" applyNumberFormat="1" applyFont="1" applyFill="1" applyBorder="1" applyAlignment="1" applyProtection="1">
      <alignment horizontal="center"/>
    </xf>
    <xf numFmtId="172" fontId="12" fillId="2" borderId="16" xfId="0" applyNumberFormat="1" applyFont="1" applyFill="1" applyBorder="1" applyProtection="1"/>
    <xf numFmtId="173" fontId="12" fillId="5" borderId="2" xfId="0" applyNumberFormat="1" applyFont="1" applyFill="1" applyBorder="1" applyAlignment="1" applyProtection="1">
      <alignment horizontal="center"/>
    </xf>
    <xf numFmtId="172" fontId="14" fillId="2" borderId="16" xfId="0" applyNumberFormat="1" applyFont="1" applyFill="1" applyBorder="1" applyAlignment="1" applyProtection="1">
      <alignment horizontal="centerContinuous"/>
    </xf>
    <xf numFmtId="172" fontId="14" fillId="2" borderId="0" xfId="0" applyNumberFormat="1" applyFont="1" applyFill="1" applyAlignment="1" applyProtection="1">
      <alignment horizontal="centerContinuous"/>
    </xf>
    <xf numFmtId="172" fontId="12" fillId="2" borderId="0" xfId="0" applyNumberFormat="1" applyFont="1" applyFill="1" applyAlignment="1" applyProtection="1">
      <alignment horizontal="centerContinuous"/>
    </xf>
    <xf numFmtId="172" fontId="12" fillId="2" borderId="17" xfId="0" applyNumberFormat="1" applyFont="1" applyFill="1" applyBorder="1" applyProtection="1"/>
    <xf numFmtId="172" fontId="14" fillId="5" borderId="18" xfId="0" applyNumberFormat="1" applyFont="1" applyFill="1" applyBorder="1" applyAlignment="1" applyProtection="1">
      <alignment horizontal="center"/>
    </xf>
    <xf numFmtId="172" fontId="14" fillId="5" borderId="14" xfId="0" applyNumberFormat="1" applyFont="1" applyFill="1" applyBorder="1" applyAlignment="1" applyProtection="1">
      <alignment horizontal="centerContinuous"/>
    </xf>
    <xf numFmtId="172" fontId="14" fillId="5" borderId="19" xfId="0" applyNumberFormat="1" applyFont="1" applyFill="1" applyBorder="1" applyAlignment="1" applyProtection="1">
      <alignment horizontal="centerContinuous"/>
    </xf>
    <xf numFmtId="172" fontId="14" fillId="5" borderId="18" xfId="0" applyNumberFormat="1" applyFont="1" applyFill="1" applyBorder="1" applyAlignment="1" applyProtection="1">
      <alignment horizontal="centerContinuous"/>
    </xf>
    <xf numFmtId="172" fontId="14" fillId="5" borderId="1" xfId="0" applyNumberFormat="1" applyFont="1" applyFill="1" applyBorder="1" applyAlignment="1" applyProtection="1">
      <alignment horizontal="center"/>
    </xf>
    <xf numFmtId="172" fontId="14" fillId="5" borderId="20" xfId="0" applyNumberFormat="1" applyFont="1" applyFill="1" applyBorder="1" applyAlignment="1" applyProtection="1">
      <alignment horizontal="center"/>
    </xf>
    <xf numFmtId="172" fontId="14" fillId="5" borderId="8" xfId="0" applyNumberFormat="1" applyFont="1" applyFill="1" applyBorder="1" applyAlignment="1" applyProtection="1">
      <alignment horizontal="center"/>
    </xf>
    <xf numFmtId="172" fontId="14" fillId="5" borderId="2" xfId="0" applyNumberFormat="1" applyFont="1" applyFill="1" applyBorder="1" applyAlignment="1" applyProtection="1">
      <alignment horizontal="center"/>
    </xf>
    <xf numFmtId="172" fontId="14" fillId="5" borderId="1" xfId="0" applyNumberFormat="1" applyFont="1" applyFill="1" applyBorder="1" applyAlignment="1" applyProtection="1">
      <alignment horizontal="centerContinuous"/>
    </xf>
    <xf numFmtId="172" fontId="12" fillId="2" borderId="2" xfId="0" applyNumberFormat="1" applyFont="1" applyFill="1" applyBorder="1" applyAlignment="1" applyProtection="1">
      <alignment horizontal="center"/>
    </xf>
    <xf numFmtId="39" fontId="12" fillId="2" borderId="2" xfId="0" applyNumberFormat="1" applyFont="1" applyFill="1" applyBorder="1" applyProtection="1"/>
    <xf numFmtId="172" fontId="12" fillId="2" borderId="21" xfId="0" applyNumberFormat="1" applyFont="1" applyFill="1" applyBorder="1" applyProtection="1"/>
    <xf numFmtId="172" fontId="12" fillId="0" borderId="22" xfId="0" applyNumberFormat="1" applyFont="1" applyBorder="1" applyProtection="1"/>
    <xf numFmtId="39" fontId="12" fillId="5" borderId="2" xfId="0" applyNumberFormat="1" applyFont="1" applyFill="1" applyBorder="1" applyProtection="1"/>
    <xf numFmtId="172" fontId="12" fillId="0" borderId="2" xfId="0" applyNumberFormat="1" applyFont="1" applyBorder="1" applyAlignment="1" applyProtection="1">
      <alignment horizontal="center"/>
    </xf>
    <xf numFmtId="39" fontId="12" fillId="0" borderId="2" xfId="0" applyNumberFormat="1" applyFont="1" applyBorder="1" applyProtection="1"/>
    <xf numFmtId="39" fontId="12" fillId="0" borderId="0" xfId="0" applyNumberFormat="1" applyFont="1" applyProtection="1"/>
    <xf numFmtId="0" fontId="12" fillId="0" borderId="0" xfId="0" applyFont="1"/>
    <xf numFmtId="39" fontId="11" fillId="5" borderId="2" xfId="0" applyNumberFormat="1" applyFont="1" applyFill="1" applyBorder="1" applyAlignment="1" applyProtection="1">
      <alignment horizontal="center"/>
    </xf>
    <xf numFmtId="17" fontId="15" fillId="2" borderId="23" xfId="0" applyNumberFormat="1" applyFont="1" applyFill="1" applyBorder="1" applyAlignment="1">
      <alignment horizontal="right"/>
    </xf>
    <xf numFmtId="17" fontId="8" fillId="2" borderId="3" xfId="0" applyNumberFormat="1" applyFont="1" applyFill="1" applyBorder="1" applyAlignment="1">
      <alignment horizontal="right"/>
    </xf>
    <xf numFmtId="175" fontId="6" fillId="6" borderId="6" xfId="0" applyNumberFormat="1" applyFont="1" applyFill="1" applyBorder="1" applyAlignment="1" applyProtection="1"/>
    <xf numFmtId="171" fontId="6" fillId="6" borderId="5" xfId="1" applyFont="1" applyFill="1" applyBorder="1"/>
    <xf numFmtId="0" fontId="7" fillId="2" borderId="4" xfId="0" applyFont="1" applyFill="1" applyBorder="1"/>
    <xf numFmtId="172" fontId="7" fillId="2" borderId="2" xfId="0" applyNumberFormat="1" applyFont="1" applyFill="1" applyBorder="1" applyAlignment="1" applyProtection="1">
      <alignment horizontal="center"/>
    </xf>
    <xf numFmtId="172" fontId="7" fillId="0" borderId="2" xfId="0" applyNumberFormat="1" applyFont="1" applyBorder="1" applyAlignment="1" applyProtection="1">
      <alignment horizontal="center"/>
    </xf>
    <xf numFmtId="0" fontId="7" fillId="0" borderId="0" xfId="0" applyFont="1" applyFill="1"/>
    <xf numFmtId="0" fontId="12" fillId="0" borderId="0" xfId="0" applyFont="1" applyFill="1"/>
    <xf numFmtId="172" fontId="14" fillId="5" borderId="6" xfId="0" applyNumberFormat="1" applyFont="1" applyFill="1" applyBorder="1" applyAlignment="1" applyProtection="1">
      <alignment horizontal="center"/>
    </xf>
    <xf numFmtId="172" fontId="37" fillId="0" borderId="0" xfId="0" applyNumberFormat="1" applyFont="1" applyFill="1" applyProtection="1"/>
    <xf numFmtId="172" fontId="38" fillId="0" borderId="0" xfId="0" applyNumberFormat="1" applyFont="1" applyFill="1" applyProtection="1"/>
    <xf numFmtId="172" fontId="12" fillId="0" borderId="0" xfId="0" applyNumberFormat="1" applyFont="1" applyFill="1" applyProtection="1"/>
    <xf numFmtId="172" fontId="8" fillId="0" borderId="0" xfId="0" applyNumberFormat="1" applyFont="1" applyProtection="1"/>
    <xf numFmtId="171" fontId="13" fillId="2" borderId="0" xfId="0" applyNumberFormat="1" applyFont="1" applyFill="1"/>
    <xf numFmtId="3" fontId="13" fillId="2" borderId="0" xfId="0" applyNumberFormat="1" applyFont="1" applyFill="1"/>
    <xf numFmtId="171" fontId="7" fillId="2" borderId="1" xfId="2" applyFont="1" applyFill="1" applyBorder="1"/>
    <xf numFmtId="171" fontId="7" fillId="2" borderId="0" xfId="0" applyNumberFormat="1" applyFont="1" applyFill="1"/>
    <xf numFmtId="171" fontId="7" fillId="2" borderId="8" xfId="1" applyFont="1" applyFill="1" applyBorder="1"/>
    <xf numFmtId="171" fontId="7" fillId="2" borderId="24" xfId="1" applyFont="1" applyFill="1" applyBorder="1"/>
    <xf numFmtId="171" fontId="7" fillId="2" borderId="2" xfId="2" applyFont="1" applyFill="1" applyBorder="1" applyProtection="1"/>
    <xf numFmtId="171" fontId="7" fillId="2" borderId="5" xfId="2" applyFont="1" applyFill="1" applyBorder="1"/>
    <xf numFmtId="171" fontId="6" fillId="6" borderId="5" xfId="2" applyFont="1" applyFill="1" applyBorder="1"/>
    <xf numFmtId="10" fontId="7" fillId="8" borderId="8" xfId="11" applyNumberFormat="1" applyFont="1" applyFill="1" applyBorder="1"/>
    <xf numFmtId="39" fontId="7" fillId="5" borderId="2" xfId="0" applyNumberFormat="1" applyFont="1" applyFill="1" applyBorder="1" applyProtection="1"/>
    <xf numFmtId="171" fontId="7" fillId="0" borderId="5" xfId="1" applyFont="1" applyFill="1" applyBorder="1"/>
    <xf numFmtId="171" fontId="6" fillId="4" borderId="25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/>
    </xf>
    <xf numFmtId="171" fontId="7" fillId="2" borderId="26" xfId="1" applyFont="1" applyFill="1" applyBorder="1" applyAlignment="1"/>
    <xf numFmtId="0" fontId="6" fillId="4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171" fontId="7" fillId="0" borderId="1" xfId="1" applyFont="1" applyFill="1" applyBorder="1"/>
    <xf numFmtId="171" fontId="0" fillId="0" borderId="0" xfId="0" applyNumberFormat="1"/>
    <xf numFmtId="171" fontId="7" fillId="0" borderId="1" xfId="2" applyFont="1" applyFill="1" applyBorder="1"/>
    <xf numFmtId="4" fontId="39" fillId="0" borderId="27" xfId="0" applyNumberFormat="1" applyFont="1" applyBorder="1"/>
    <xf numFmtId="171" fontId="6" fillId="4" borderId="6" xfId="1" applyFont="1" applyFill="1" applyBorder="1" applyAlignment="1">
      <alignment horizontal="centerContinuous"/>
    </xf>
    <xf numFmtId="171" fontId="6" fillId="4" borderId="22" xfId="1" applyFont="1" applyFill="1" applyBorder="1" applyAlignment="1">
      <alignment horizontal="centerContinuous"/>
    </xf>
    <xf numFmtId="171" fontId="6" fillId="4" borderId="1" xfId="1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7" fillId="2" borderId="0" xfId="0" applyFont="1" applyFill="1" applyAlignment="1">
      <alignment vertical="center" wrapText="1"/>
    </xf>
    <xf numFmtId="14" fontId="7" fillId="2" borderId="0" xfId="0" applyNumberFormat="1" applyFont="1" applyFill="1"/>
    <xf numFmtId="171" fontId="6" fillId="9" borderId="25" xfId="1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/>
    <xf numFmtId="171" fontId="40" fillId="0" borderId="27" xfId="1" applyFont="1" applyBorder="1"/>
    <xf numFmtId="0" fontId="11" fillId="4" borderId="1" xfId="0" applyFont="1" applyFill="1" applyBorder="1" applyAlignment="1">
      <alignment horizontal="center" vertical="center" wrapText="1"/>
    </xf>
    <xf numFmtId="176" fontId="6" fillId="9" borderId="1" xfId="11" applyNumberFormat="1" applyFont="1" applyFill="1" applyBorder="1" applyAlignment="1">
      <alignment horizontal="center" vertical="center"/>
    </xf>
    <xf numFmtId="10" fontId="6" fillId="4" borderId="1" xfId="1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71" fontId="7" fillId="0" borderId="2" xfId="1" applyFont="1" applyFill="1" applyBorder="1" applyProtection="1"/>
    <xf numFmtId="171" fontId="7" fillId="0" borderId="5" xfId="2" applyFont="1" applyFill="1" applyBorder="1"/>
    <xf numFmtId="171" fontId="6" fillId="8" borderId="5" xfId="1" applyFont="1" applyFill="1" applyBorder="1"/>
    <xf numFmtId="175" fontId="6" fillId="8" borderId="6" xfId="0" applyNumberFormat="1" applyFont="1" applyFill="1" applyBorder="1" applyAlignment="1" applyProtection="1"/>
    <xf numFmtId="10" fontId="7" fillId="8" borderId="7" xfId="11" applyNumberFormat="1" applyFont="1" applyFill="1" applyBorder="1"/>
    <xf numFmtId="39" fontId="14" fillId="5" borderId="28" xfId="0" applyNumberFormat="1" applyFont="1" applyFill="1" applyBorder="1" applyAlignment="1" applyProtection="1">
      <alignment vertical="center"/>
    </xf>
    <xf numFmtId="171" fontId="6" fillId="2" borderId="5" xfId="0" applyNumberFormat="1" applyFont="1" applyFill="1" applyBorder="1"/>
    <xf numFmtId="0" fontId="0" fillId="0" borderId="0" xfId="0" applyAlignment="1">
      <alignment horizontal="center"/>
    </xf>
    <xf numFmtId="0" fontId="41" fillId="0" borderId="28" xfId="0" applyFont="1" applyBorder="1" applyAlignment="1">
      <alignment horizontal="center"/>
    </xf>
    <xf numFmtId="0" fontId="42" fillId="0" borderId="29" xfId="0" applyFont="1" applyBorder="1"/>
    <xf numFmtId="0" fontId="42" fillId="0" borderId="30" xfId="0" applyFont="1" applyBorder="1"/>
    <xf numFmtId="171" fontId="7" fillId="0" borderId="5" xfId="0" applyNumberFormat="1" applyFont="1" applyFill="1" applyBorder="1"/>
    <xf numFmtId="0" fontId="42" fillId="0" borderId="31" xfId="0" applyFont="1" applyBorder="1"/>
    <xf numFmtId="171" fontId="7" fillId="0" borderId="0" xfId="0" applyNumberFormat="1" applyFont="1" applyFill="1"/>
    <xf numFmtId="171" fontId="7" fillId="0" borderId="0" xfId="1" applyFont="1" applyFill="1"/>
    <xf numFmtId="0" fontId="41" fillId="10" borderId="28" xfId="0" applyFont="1" applyFill="1" applyBorder="1" applyAlignment="1">
      <alignment horizontal="center"/>
    </xf>
    <xf numFmtId="0" fontId="42" fillId="10" borderId="32" xfId="0" applyFont="1" applyFill="1" applyBorder="1" applyAlignment="1">
      <alignment horizontal="center"/>
    </xf>
    <xf numFmtId="171" fontId="7" fillId="2" borderId="0" xfId="2" applyFont="1" applyFill="1"/>
    <xf numFmtId="171" fontId="7" fillId="2" borderId="3" xfId="2" applyFont="1" applyFill="1" applyBorder="1"/>
    <xf numFmtId="0" fontId="9" fillId="11" borderId="0" xfId="0" applyFont="1" applyFill="1"/>
    <xf numFmtId="0" fontId="6" fillId="4" borderId="18" xfId="0" applyFont="1" applyFill="1" applyBorder="1" applyAlignment="1">
      <alignment horizontal="center"/>
    </xf>
    <xf numFmtId="171" fontId="20" fillId="4" borderId="18" xfId="2" applyFont="1" applyFill="1" applyBorder="1" applyAlignment="1">
      <alignment horizontal="center"/>
    </xf>
    <xf numFmtId="184" fontId="20" fillId="4" borderId="1" xfId="2" applyNumberFormat="1" applyFont="1" applyFill="1" applyBorder="1" applyAlignment="1">
      <alignment horizontal="center"/>
    </xf>
    <xf numFmtId="175" fontId="7" fillId="2" borderId="0" xfId="0" applyNumberFormat="1" applyFont="1" applyFill="1" applyBorder="1" applyAlignment="1" applyProtection="1">
      <alignment horizontal="center"/>
    </xf>
    <xf numFmtId="0" fontId="6" fillId="7" borderId="1" xfId="0" applyFont="1" applyFill="1" applyBorder="1" applyAlignment="1">
      <alignment horizontal="center"/>
    </xf>
    <xf numFmtId="171" fontId="20" fillId="7" borderId="1" xfId="2" applyFont="1" applyFill="1" applyBorder="1" applyAlignment="1">
      <alignment horizontal="center"/>
    </xf>
    <xf numFmtId="171" fontId="7" fillId="2" borderId="1" xfId="2" applyNumberFormat="1" applyFont="1" applyFill="1" applyBorder="1"/>
    <xf numFmtId="10" fontId="20" fillId="7" borderId="1" xfId="12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184" fontId="20" fillId="4" borderId="24" xfId="2" applyNumberFormat="1" applyFont="1" applyFill="1" applyBorder="1" applyAlignment="1">
      <alignment horizontal="center"/>
    </xf>
    <xf numFmtId="171" fontId="20" fillId="4" borderId="24" xfId="2" applyFont="1" applyFill="1" applyBorder="1" applyAlignment="1">
      <alignment horizontal="center"/>
    </xf>
    <xf numFmtId="0" fontId="7" fillId="2" borderId="5" xfId="0" applyFont="1" applyFill="1" applyBorder="1"/>
    <xf numFmtId="0" fontId="6" fillId="6" borderId="5" xfId="0" applyFont="1" applyFill="1" applyBorder="1"/>
    <xf numFmtId="171" fontId="7" fillId="6" borderId="5" xfId="2" applyFont="1" applyFill="1" applyBorder="1"/>
    <xf numFmtId="0" fontId="43" fillId="2" borderId="0" xfId="0" applyFont="1" applyFill="1"/>
    <xf numFmtId="171" fontId="6" fillId="2" borderId="5" xfId="2" applyFont="1" applyFill="1" applyBorder="1"/>
    <xf numFmtId="175" fontId="7" fillId="2" borderId="6" xfId="0" applyNumberFormat="1" applyFont="1" applyFill="1" applyBorder="1" applyAlignment="1" applyProtection="1"/>
    <xf numFmtId="0" fontId="6" fillId="2" borderId="5" xfId="0" applyFont="1" applyFill="1" applyBorder="1"/>
    <xf numFmtId="0" fontId="44" fillId="0" borderId="0" xfId="0" applyFont="1" applyFill="1"/>
    <xf numFmtId="0" fontId="6" fillId="0" borderId="0" xfId="0" applyFont="1" applyFill="1"/>
    <xf numFmtId="0" fontId="45" fillId="0" borderId="0" xfId="6" applyFont="1" applyFill="1" applyAlignment="1" applyProtection="1"/>
    <xf numFmtId="0" fontId="46" fillId="0" borderId="0" xfId="6" applyFont="1" applyFill="1" applyAlignment="1" applyProtection="1"/>
    <xf numFmtId="0" fontId="6" fillId="2" borderId="4" xfId="0" applyFont="1" applyFill="1" applyBorder="1"/>
    <xf numFmtId="171" fontId="6" fillId="2" borderId="12" xfId="0" applyNumberFormat="1" applyFont="1" applyFill="1" applyBorder="1"/>
    <xf numFmtId="171" fontId="6" fillId="2" borderId="11" xfId="0" applyNumberFormat="1" applyFont="1" applyFill="1" applyBorder="1"/>
    <xf numFmtId="0" fontId="6" fillId="0" borderId="0" xfId="0" applyFont="1" applyFill="1" applyBorder="1"/>
    <xf numFmtId="171" fontId="6" fillId="0" borderId="0" xfId="0" applyNumberFormat="1" applyFont="1" applyFill="1" applyBorder="1"/>
    <xf numFmtId="184" fontId="6" fillId="0" borderId="0" xfId="2" applyNumberFormat="1" applyFont="1" applyFill="1"/>
    <xf numFmtId="184" fontId="6" fillId="0" borderId="0" xfId="2" applyNumberFormat="1" applyFont="1" applyFill="1" applyBorder="1"/>
    <xf numFmtId="0" fontId="6" fillId="12" borderId="5" xfId="0" applyFont="1" applyFill="1" applyBorder="1"/>
    <xf numFmtId="0" fontId="7" fillId="10" borderId="4" xfId="0" applyFont="1" applyFill="1" applyBorder="1"/>
    <xf numFmtId="0" fontId="7" fillId="10" borderId="12" xfId="0" applyFont="1" applyFill="1" applyBorder="1"/>
    <xf numFmtId="171" fontId="7" fillId="10" borderId="5" xfId="2" applyFont="1" applyFill="1" applyBorder="1"/>
    <xf numFmtId="0" fontId="6" fillId="2" borderId="0" xfId="0" applyFont="1" applyFill="1" applyBorder="1"/>
    <xf numFmtId="0" fontId="6" fillId="2" borderId="12" xfId="0" applyFont="1" applyFill="1" applyBorder="1"/>
    <xf numFmtId="171" fontId="6" fillId="2" borderId="0" xfId="0" applyNumberFormat="1" applyFont="1" applyFill="1" applyBorder="1"/>
    <xf numFmtId="171" fontId="6" fillId="2" borderId="0" xfId="2" applyFont="1" applyFill="1" applyBorder="1"/>
    <xf numFmtId="0" fontId="6" fillId="10" borderId="5" xfId="0" applyFont="1" applyFill="1" applyBorder="1"/>
    <xf numFmtId="171" fontId="6" fillId="10" borderId="5" xfId="0" applyNumberFormat="1" applyFont="1" applyFill="1" applyBorder="1"/>
    <xf numFmtId="171" fontId="6" fillId="10" borderId="5" xfId="2" applyFont="1" applyFill="1" applyBorder="1"/>
    <xf numFmtId="171" fontId="7" fillId="11" borderId="33" xfId="2" applyFont="1" applyFill="1" applyBorder="1"/>
    <xf numFmtId="0" fontId="6" fillId="6" borderId="12" xfId="0" applyFont="1" applyFill="1" applyBorder="1"/>
    <xf numFmtId="171" fontId="7" fillId="6" borderId="12" xfId="2" applyFont="1" applyFill="1" applyBorder="1"/>
    <xf numFmtId="171" fontId="7" fillId="6" borderId="11" xfId="2" applyFont="1" applyFill="1" applyBorder="1"/>
    <xf numFmtId="171" fontId="7" fillId="2" borderId="12" xfId="2" applyFont="1" applyFill="1" applyBorder="1"/>
    <xf numFmtId="171" fontId="7" fillId="2" borderId="11" xfId="2" applyFont="1" applyFill="1" applyBorder="1"/>
    <xf numFmtId="171" fontId="7" fillId="13" borderId="1" xfId="2" applyNumberFormat="1" applyFont="1" applyFill="1" applyBorder="1"/>
    <xf numFmtId="171" fontId="6" fillId="14" borderId="2" xfId="2" applyFont="1" applyFill="1" applyBorder="1" applyAlignment="1" applyProtection="1"/>
    <xf numFmtId="184" fontId="6" fillId="0" borderId="5" xfId="2" applyNumberFormat="1" applyFont="1" applyFill="1" applyBorder="1"/>
    <xf numFmtId="0" fontId="6" fillId="0" borderId="28" xfId="0" applyFont="1" applyFill="1" applyBorder="1"/>
    <xf numFmtId="184" fontId="44" fillId="0" borderId="28" xfId="2" applyNumberFormat="1" applyFont="1" applyFill="1" applyBorder="1"/>
    <xf numFmtId="0" fontId="6" fillId="13" borderId="5" xfId="0" applyFont="1" applyFill="1" applyBorder="1"/>
    <xf numFmtId="184" fontId="44" fillId="0" borderId="0" xfId="2" applyNumberFormat="1" applyFont="1" applyFill="1" applyBorder="1"/>
    <xf numFmtId="0" fontId="42" fillId="0" borderId="30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185" fontId="6" fillId="15" borderId="1" xfId="2" applyNumberFormat="1" applyFont="1" applyFill="1" applyBorder="1" applyAlignment="1">
      <alignment horizontal="center" vertical="center"/>
    </xf>
    <xf numFmtId="186" fontId="6" fillId="10" borderId="27" xfId="0" applyNumberFormat="1" applyFont="1" applyFill="1" applyBorder="1" applyAlignment="1">
      <alignment horizontal="center"/>
    </xf>
    <xf numFmtId="176" fontId="6" fillId="0" borderId="1" xfId="11" applyNumberFormat="1" applyFont="1" applyFill="1" applyBorder="1" applyAlignment="1">
      <alignment horizontal="center" vertical="center"/>
    </xf>
    <xf numFmtId="171" fontId="6" fillId="0" borderId="5" xfId="1" applyFont="1" applyFill="1" applyBorder="1"/>
    <xf numFmtId="0" fontId="8" fillId="0" borderId="0" xfId="0" applyFont="1" applyFill="1" applyAlignment="1">
      <alignment horizontal="left"/>
    </xf>
    <xf numFmtId="171" fontId="7" fillId="0" borderId="26" xfId="1" applyFont="1" applyFill="1" applyBorder="1" applyAlignment="1"/>
    <xf numFmtId="171" fontId="6" fillId="0" borderId="25" xfId="1" applyFont="1" applyFill="1" applyBorder="1" applyAlignment="1">
      <alignment horizontal="center" vertical="center" wrapText="1"/>
    </xf>
    <xf numFmtId="171" fontId="7" fillId="0" borderId="0" xfId="2" applyFont="1" applyFill="1"/>
    <xf numFmtId="171" fontId="7" fillId="0" borderId="3" xfId="2" applyFont="1" applyFill="1" applyBorder="1"/>
    <xf numFmtId="171" fontId="20" fillId="0" borderId="18" xfId="2" applyFont="1" applyFill="1" applyBorder="1" applyAlignment="1">
      <alignment horizontal="center"/>
    </xf>
    <xf numFmtId="184" fontId="20" fillId="0" borderId="1" xfId="2" applyNumberFormat="1" applyFont="1" applyFill="1" applyBorder="1" applyAlignment="1">
      <alignment horizontal="center"/>
    </xf>
    <xf numFmtId="171" fontId="20" fillId="0" borderId="1" xfId="2" applyFont="1" applyFill="1" applyBorder="1" applyAlignment="1">
      <alignment horizontal="center"/>
    </xf>
    <xf numFmtId="171" fontId="7" fillId="0" borderId="1" xfId="2" applyNumberFormat="1" applyFont="1" applyFill="1" applyBorder="1"/>
    <xf numFmtId="10" fontId="20" fillId="0" borderId="1" xfId="12" applyNumberFormat="1" applyFont="1" applyFill="1" applyBorder="1" applyAlignment="1">
      <alignment horizontal="center"/>
    </xf>
    <xf numFmtId="184" fontId="20" fillId="0" borderId="24" xfId="2" applyNumberFormat="1" applyFont="1" applyFill="1" applyBorder="1" applyAlignment="1">
      <alignment horizontal="center"/>
    </xf>
    <xf numFmtId="171" fontId="6" fillId="0" borderId="5" xfId="2" applyFont="1" applyFill="1" applyBorder="1"/>
    <xf numFmtId="171" fontId="6" fillId="0" borderId="5" xfId="0" applyNumberFormat="1" applyFont="1" applyFill="1" applyBorder="1"/>
    <xf numFmtId="0" fontId="7" fillId="0" borderId="4" xfId="0" applyFont="1" applyFill="1" applyBorder="1"/>
    <xf numFmtId="0" fontId="6" fillId="0" borderId="4" xfId="0" applyFont="1" applyFill="1" applyBorder="1"/>
    <xf numFmtId="0" fontId="7" fillId="0" borderId="34" xfId="0" applyFont="1" applyFill="1" applyBorder="1"/>
    <xf numFmtId="171" fontId="7" fillId="0" borderId="11" xfId="2" applyFont="1" applyFill="1" applyBorder="1"/>
    <xf numFmtId="0" fontId="7" fillId="2" borderId="35" xfId="0" applyFont="1" applyFill="1" applyBorder="1"/>
    <xf numFmtId="171" fontId="6" fillId="2" borderId="4" xfId="1" applyFont="1" applyFill="1" applyBorder="1" applyAlignment="1">
      <alignment horizontal="right"/>
    </xf>
    <xf numFmtId="171" fontId="7" fillId="2" borderId="4" xfId="0" applyNumberFormat="1" applyFont="1" applyFill="1" applyBorder="1"/>
    <xf numFmtId="171" fontId="9" fillId="0" borderId="4" xfId="2" applyFont="1" applyFill="1" applyBorder="1"/>
    <xf numFmtId="171" fontId="6" fillId="6" borderId="36" xfId="0" applyNumberFormat="1" applyFont="1" applyFill="1" applyBorder="1"/>
    <xf numFmtId="0" fontId="7" fillId="0" borderId="5" xfId="0" applyFont="1" applyFill="1" applyBorder="1"/>
    <xf numFmtId="192" fontId="6" fillId="13" borderId="5" xfId="0" applyNumberFormat="1" applyFont="1" applyFill="1" applyBorder="1"/>
    <xf numFmtId="172" fontId="12" fillId="0" borderId="22" xfId="0" applyNumberFormat="1" applyFont="1" applyBorder="1" applyAlignment="1" applyProtection="1">
      <alignment horizontal="center"/>
    </xf>
    <xf numFmtId="172" fontId="12" fillId="0" borderId="21" xfId="0" applyNumberFormat="1" applyFont="1" applyBorder="1" applyAlignment="1" applyProtection="1">
      <alignment horizontal="center"/>
    </xf>
    <xf numFmtId="175" fontId="7" fillId="10" borderId="2" xfId="0" applyNumberFormat="1" applyFont="1" applyFill="1" applyBorder="1" applyAlignment="1" applyProtection="1">
      <alignment horizontal="center"/>
    </xf>
    <xf numFmtId="171" fontId="7" fillId="10" borderId="1" xfId="2" applyFont="1" applyFill="1" applyBorder="1"/>
    <xf numFmtId="171" fontId="7" fillId="10" borderId="1" xfId="2" applyNumberFormat="1" applyFont="1" applyFill="1" applyBorder="1"/>
    <xf numFmtId="0" fontId="47" fillId="0" borderId="0" xfId="0" applyFont="1"/>
    <xf numFmtId="171" fontId="48" fillId="0" borderId="4" xfId="1" applyFont="1" applyBorder="1"/>
    <xf numFmtId="10" fontId="7" fillId="10" borderId="8" xfId="11" applyNumberFormat="1" applyFont="1" applyFill="1" applyBorder="1"/>
    <xf numFmtId="171" fontId="7" fillId="10" borderId="1" xfId="1" applyFont="1" applyFill="1" applyBorder="1"/>
    <xf numFmtId="10" fontId="7" fillId="10" borderId="9" xfId="11" applyNumberFormat="1" applyFont="1" applyFill="1" applyBorder="1" applyAlignment="1" applyProtection="1">
      <alignment horizontal="center"/>
    </xf>
    <xf numFmtId="39" fontId="7" fillId="10" borderId="10" xfId="0" applyNumberFormat="1" applyFont="1" applyFill="1" applyBorder="1" applyProtection="1"/>
    <xf numFmtId="10" fontId="7" fillId="10" borderId="7" xfId="11" applyNumberFormat="1" applyFont="1" applyFill="1" applyBorder="1"/>
    <xf numFmtId="171" fontId="7" fillId="10" borderId="2" xfId="2" applyFont="1" applyFill="1" applyBorder="1" applyProtection="1"/>
    <xf numFmtId="171" fontId="42" fillId="0" borderId="30" xfId="2" applyFont="1" applyBorder="1"/>
    <xf numFmtId="171" fontId="42" fillId="0" borderId="31" xfId="2" applyFont="1" applyBorder="1"/>
    <xf numFmtId="171" fontId="0" fillId="0" borderId="0" xfId="2" applyFont="1"/>
    <xf numFmtId="171" fontId="42" fillId="0" borderId="37" xfId="2" applyFont="1" applyBorder="1" applyAlignment="1">
      <alignment vertical="center"/>
    </xf>
    <xf numFmtId="0" fontId="7" fillId="0" borderId="0" xfId="0" applyFont="1"/>
    <xf numFmtId="1" fontId="6" fillId="9" borderId="25" xfId="2" applyNumberFormat="1" applyFont="1" applyFill="1" applyBorder="1" applyAlignment="1">
      <alignment horizontal="center" vertical="center" wrapText="1"/>
    </xf>
    <xf numFmtId="171" fontId="6" fillId="4" borderId="25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14" fontId="7" fillId="2" borderId="0" xfId="0" applyNumberFormat="1" applyFont="1" applyFill="1" applyAlignment="1">
      <alignment wrapText="1"/>
    </xf>
    <xf numFmtId="175" fontId="7" fillId="2" borderId="2" xfId="0" applyNumberFormat="1" applyFont="1" applyFill="1" applyBorder="1" applyAlignment="1">
      <alignment horizontal="center"/>
    </xf>
    <xf numFmtId="10" fontId="6" fillId="9" borderId="1" xfId="12" applyNumberFormat="1" applyFont="1" applyFill="1" applyBorder="1" applyAlignment="1">
      <alignment horizontal="center" vertical="center"/>
    </xf>
    <xf numFmtId="171" fontId="6" fillId="3" borderId="5" xfId="2" applyFont="1" applyFill="1" applyBorder="1"/>
    <xf numFmtId="175" fontId="6" fillId="2" borderId="2" xfId="0" applyNumberFormat="1" applyFont="1" applyFill="1" applyBorder="1"/>
    <xf numFmtId="175" fontId="6" fillId="2" borderId="6" xfId="0" applyNumberFormat="1" applyFont="1" applyFill="1" applyBorder="1"/>
    <xf numFmtId="171" fontId="7" fillId="0" borderId="0" xfId="0" applyNumberFormat="1" applyFont="1"/>
    <xf numFmtId="175" fontId="6" fillId="6" borderId="6" xfId="0" applyNumberFormat="1" applyFont="1" applyFill="1" applyBorder="1"/>
    <xf numFmtId="175" fontId="6" fillId="8" borderId="6" xfId="0" applyNumberFormat="1" applyFont="1" applyFill="1" applyBorder="1"/>
    <xf numFmtId="171" fontId="6" fillId="8" borderId="5" xfId="2" applyFont="1" applyFill="1" applyBorder="1"/>
    <xf numFmtId="171" fontId="6" fillId="4" borderId="18" xfId="2" applyFont="1" applyFill="1" applyBorder="1" applyAlignment="1">
      <alignment horizontal="center"/>
    </xf>
    <xf numFmtId="171" fontId="6" fillId="4" borderId="6" xfId="2" applyFont="1" applyFill="1" applyBorder="1" applyAlignment="1">
      <alignment horizontal="centerContinuous"/>
    </xf>
    <xf numFmtId="171" fontId="6" fillId="4" borderId="22" xfId="2" applyFont="1" applyFill="1" applyBorder="1" applyAlignment="1">
      <alignment horizontal="centerContinuous"/>
    </xf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171" fontId="6" fillId="4" borderId="1" xfId="2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171" fontId="7" fillId="2" borderId="1" xfId="2" applyFont="1" applyFill="1" applyBorder="1" applyProtection="1"/>
    <xf numFmtId="10" fontId="7" fillId="2" borderId="7" xfId="12" applyNumberFormat="1" applyFont="1" applyFill="1" applyBorder="1"/>
    <xf numFmtId="10" fontId="7" fillId="2" borderId="8" xfId="12" applyNumberFormat="1" applyFont="1" applyFill="1" applyBorder="1"/>
    <xf numFmtId="10" fontId="7" fillId="2" borderId="9" xfId="12" applyNumberFormat="1" applyFont="1" applyFill="1" applyBorder="1" applyAlignment="1" applyProtection="1">
      <alignment horizontal="center"/>
    </xf>
    <xf numFmtId="39" fontId="7" fillId="2" borderId="10" xfId="0" applyNumberFormat="1" applyFont="1" applyFill="1" applyBorder="1"/>
    <xf numFmtId="10" fontId="7" fillId="2" borderId="7" xfId="2" applyNumberFormat="1" applyFont="1" applyFill="1" applyBorder="1"/>
    <xf numFmtId="171" fontId="7" fillId="2" borderId="8" xfId="2" applyFont="1" applyFill="1" applyBorder="1"/>
    <xf numFmtId="171" fontId="6" fillId="8" borderId="4" xfId="2" applyFont="1" applyFill="1" applyBorder="1"/>
    <xf numFmtId="10" fontId="7" fillId="8" borderId="8" xfId="12" applyNumberFormat="1" applyFont="1" applyFill="1" applyBorder="1"/>
    <xf numFmtId="39" fontId="6" fillId="4" borderId="2" xfId="0" applyNumberFormat="1" applyFont="1" applyFill="1" applyBorder="1"/>
    <xf numFmtId="171" fontId="6" fillId="2" borderId="4" xfId="2" applyFont="1" applyFill="1" applyBorder="1" applyAlignment="1">
      <alignment horizontal="right"/>
    </xf>
    <xf numFmtId="171" fontId="24" fillId="0" borderId="4" xfId="2" applyFont="1" applyFill="1" applyBorder="1"/>
    <xf numFmtId="171" fontId="9" fillId="2" borderId="4" xfId="2" applyFont="1" applyFill="1" applyBorder="1"/>
    <xf numFmtId="171" fontId="6" fillId="6" borderId="42" xfId="0" applyNumberFormat="1" applyFont="1" applyFill="1" applyBorder="1"/>
    <xf numFmtId="171" fontId="6" fillId="8" borderId="4" xfId="0" applyNumberFormat="1" applyFont="1" applyFill="1" applyBorder="1"/>
    <xf numFmtId="172" fontId="7" fillId="2" borderId="0" xfId="0" applyNumberFormat="1" applyFont="1" applyFill="1"/>
    <xf numFmtId="172" fontId="8" fillId="8" borderId="2" xfId="0" applyNumberFormat="1" applyFont="1" applyFill="1" applyBorder="1" applyAlignment="1">
      <alignment horizontal="center" vertical="center"/>
    </xf>
    <xf numFmtId="171" fontId="8" fillId="8" borderId="2" xfId="2" applyFont="1" applyFill="1" applyBorder="1" applyAlignment="1" applyProtection="1">
      <alignment horizontal="center" vertical="center" wrapText="1"/>
    </xf>
    <xf numFmtId="4" fontId="13" fillId="0" borderId="0" xfId="0" applyNumberFormat="1" applyFont="1"/>
    <xf numFmtId="0" fontId="13" fillId="0" borderId="0" xfId="0" applyFont="1"/>
    <xf numFmtId="171" fontId="13" fillId="0" borderId="0" xfId="0" applyNumberFormat="1" applyFont="1"/>
    <xf numFmtId="171" fontId="13" fillId="0" borderId="0" xfId="2" applyFont="1" applyFill="1"/>
    <xf numFmtId="172" fontId="8" fillId="0" borderId="0" xfId="0" applyNumberFormat="1" applyFont="1"/>
    <xf numFmtId="172" fontId="7" fillId="0" borderId="0" xfId="0" applyNumberFormat="1" applyFont="1"/>
    <xf numFmtId="172" fontId="6" fillId="5" borderId="13" xfId="0" applyNumberFormat="1" applyFont="1" applyFill="1" applyBorder="1" applyAlignment="1">
      <alignment horizontal="center"/>
    </xf>
    <xf numFmtId="172" fontId="7" fillId="2" borderId="14" xfId="0" applyNumberFormat="1" applyFont="1" applyFill="1" applyBorder="1"/>
    <xf numFmtId="172" fontId="7" fillId="2" borderId="15" xfId="0" applyNumberFormat="1" applyFont="1" applyFill="1" applyBorder="1"/>
    <xf numFmtId="172" fontId="6" fillId="2" borderId="15" xfId="0" applyNumberFormat="1" applyFont="1" applyFill="1" applyBorder="1"/>
    <xf numFmtId="172" fontId="7" fillId="5" borderId="2" xfId="0" applyNumberFormat="1" applyFont="1" applyFill="1" applyBorder="1" applyAlignment="1">
      <alignment horizontal="center"/>
    </xf>
    <xf numFmtId="172" fontId="7" fillId="2" borderId="16" xfId="0" applyNumberFormat="1" applyFont="1" applyFill="1" applyBorder="1"/>
    <xf numFmtId="172" fontId="6" fillId="2" borderId="0" xfId="0" applyNumberFormat="1" applyFont="1" applyFill="1"/>
    <xf numFmtId="173" fontId="7" fillId="5" borderId="2" xfId="0" applyNumberFormat="1" applyFont="1" applyFill="1" applyBorder="1" applyAlignment="1">
      <alignment horizontal="center"/>
    </xf>
    <xf numFmtId="172" fontId="6" fillId="2" borderId="16" xfId="0" applyNumberFormat="1" applyFont="1" applyFill="1" applyBorder="1" applyAlignment="1">
      <alignment horizontal="centerContinuous"/>
    </xf>
    <xf numFmtId="172" fontId="6" fillId="2" borderId="0" xfId="0" applyNumberFormat="1" applyFont="1" applyFill="1" applyAlignment="1">
      <alignment horizontal="center"/>
    </xf>
    <xf numFmtId="172" fontId="6" fillId="2" borderId="0" xfId="0" applyNumberFormat="1" applyFont="1" applyFill="1" applyAlignment="1">
      <alignment horizontal="centerContinuous"/>
    </xf>
    <xf numFmtId="39" fontId="11" fillId="5" borderId="2" xfId="0" applyNumberFormat="1" applyFont="1" applyFill="1" applyBorder="1" applyAlignment="1">
      <alignment horizontal="center"/>
    </xf>
    <xf numFmtId="172" fontId="7" fillId="2" borderId="0" xfId="0" applyNumberFormat="1" applyFont="1" applyFill="1" applyAlignment="1">
      <alignment horizontal="centerContinuous"/>
    </xf>
    <xf numFmtId="172" fontId="7" fillId="2" borderId="17" xfId="0" applyNumberFormat="1" applyFont="1" applyFill="1" applyBorder="1"/>
    <xf numFmtId="172" fontId="6" fillId="5" borderId="18" xfId="0" applyNumberFormat="1" applyFont="1" applyFill="1" applyBorder="1" applyAlignment="1">
      <alignment horizontal="center"/>
    </xf>
    <xf numFmtId="172" fontId="6" fillId="5" borderId="14" xfId="0" applyNumberFormat="1" applyFont="1" applyFill="1" applyBorder="1" applyAlignment="1">
      <alignment horizontal="centerContinuous"/>
    </xf>
    <xf numFmtId="172" fontId="6" fillId="5" borderId="19" xfId="0" applyNumberFormat="1" applyFont="1" applyFill="1" applyBorder="1" applyAlignment="1">
      <alignment horizontal="centerContinuous"/>
    </xf>
    <xf numFmtId="172" fontId="6" fillId="5" borderId="6" xfId="0" applyNumberFormat="1" applyFont="1" applyFill="1" applyBorder="1" applyAlignment="1">
      <alignment horizontal="center"/>
    </xf>
    <xf numFmtId="172" fontId="6" fillId="5" borderId="18" xfId="0" applyNumberFormat="1" applyFont="1" applyFill="1" applyBorder="1" applyAlignment="1">
      <alignment horizontal="centerContinuous"/>
    </xf>
    <xf numFmtId="172" fontId="6" fillId="5" borderId="1" xfId="0" applyNumberFormat="1" applyFont="1" applyFill="1" applyBorder="1" applyAlignment="1">
      <alignment horizontal="center"/>
    </xf>
    <xf numFmtId="172" fontId="6" fillId="5" borderId="20" xfId="0" applyNumberFormat="1" applyFont="1" applyFill="1" applyBorder="1" applyAlignment="1">
      <alignment horizontal="center"/>
    </xf>
    <xf numFmtId="172" fontId="6" fillId="5" borderId="8" xfId="0" applyNumberFormat="1" applyFont="1" applyFill="1" applyBorder="1" applyAlignment="1">
      <alignment horizontal="center"/>
    </xf>
    <xf numFmtId="172" fontId="6" fillId="5" borderId="2" xfId="0" applyNumberFormat="1" applyFont="1" applyFill="1" applyBorder="1" applyAlignment="1">
      <alignment horizontal="center"/>
    </xf>
    <xf numFmtId="172" fontId="6" fillId="5" borderId="1" xfId="0" applyNumberFormat="1" applyFont="1" applyFill="1" applyBorder="1" applyAlignment="1">
      <alignment horizontal="centerContinuous"/>
    </xf>
    <xf numFmtId="39" fontId="7" fillId="5" borderId="2" xfId="0" applyNumberFormat="1" applyFont="1" applyFill="1" applyBorder="1"/>
    <xf numFmtId="172" fontId="7" fillId="0" borderId="18" xfId="0" applyNumberFormat="1" applyFont="1" applyBorder="1" applyAlignment="1">
      <alignment horizontal="center"/>
    </xf>
    <xf numFmtId="39" fontId="7" fillId="0" borderId="18" xfId="0" applyNumberFormat="1" applyFont="1" applyBorder="1"/>
    <xf numFmtId="172" fontId="7" fillId="0" borderId="15" xfId="0" applyNumberFormat="1" applyFont="1" applyBorder="1" applyAlignment="1">
      <alignment horizontal="center"/>
    </xf>
    <xf numFmtId="172" fontId="7" fillId="0" borderId="15" xfId="0" applyNumberFormat="1" applyFont="1" applyBorder="1" applyAlignment="1">
      <alignment horizontal="left"/>
    </xf>
    <xf numFmtId="172" fontId="25" fillId="0" borderId="15" xfId="0" applyNumberFormat="1" applyFont="1" applyBorder="1"/>
    <xf numFmtId="172" fontId="7" fillId="0" borderId="15" xfId="0" applyNumberFormat="1" applyFont="1" applyBorder="1"/>
    <xf numFmtId="39" fontId="6" fillId="5" borderId="28" xfId="0" applyNumberFormat="1" applyFont="1" applyFill="1" applyBorder="1" applyAlignment="1">
      <alignment vertical="center"/>
    </xf>
    <xf numFmtId="172" fontId="37" fillId="0" borderId="0" xfId="0" applyNumberFormat="1" applyFont="1"/>
    <xf numFmtId="172" fontId="38" fillId="0" borderId="0" xfId="0" applyNumberFormat="1" applyFont="1"/>
    <xf numFmtId="39" fontId="7" fillId="0" borderId="0" xfId="0" applyNumberFormat="1" applyFont="1"/>
    <xf numFmtId="171" fontId="42" fillId="0" borderId="31" xfId="1" applyFont="1" applyBorder="1"/>
    <xf numFmtId="171" fontId="7" fillId="2" borderId="0" xfId="2" applyFont="1" applyFill="1" applyBorder="1" applyProtection="1"/>
    <xf numFmtId="43" fontId="7" fillId="2" borderId="0" xfId="0" applyNumberFormat="1" applyFont="1" applyFill="1"/>
    <xf numFmtId="171" fontId="7" fillId="11" borderId="1" xfId="2" applyFont="1" applyFill="1" applyBorder="1"/>
    <xf numFmtId="0" fontId="42" fillId="0" borderId="43" xfId="0" applyFont="1" applyBorder="1"/>
    <xf numFmtId="171" fontId="42" fillId="0" borderId="44" xfId="2" applyFont="1" applyBorder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14" fontId="7" fillId="16" borderId="0" xfId="0" applyNumberFormat="1" applyFont="1" applyFill="1"/>
    <xf numFmtId="0" fontId="6" fillId="16" borderId="0" xfId="0" applyFont="1" applyFill="1"/>
    <xf numFmtId="171" fontId="42" fillId="0" borderId="31" xfId="1" applyFont="1" applyFill="1" applyBorder="1" applyAlignment="1">
      <alignment horizontal="left" vertical="center" wrapText="1"/>
    </xf>
    <xf numFmtId="171" fontId="42" fillId="0" borderId="37" xfId="1" applyFont="1" applyFill="1" applyBorder="1" applyAlignment="1">
      <alignment vertical="center"/>
    </xf>
    <xf numFmtId="171" fontId="7" fillId="11" borderId="5" xfId="2" applyFont="1" applyFill="1" applyBorder="1"/>
    <xf numFmtId="172" fontId="7" fillId="0" borderId="2" xfId="0" applyNumberFormat="1" applyFont="1" applyFill="1" applyBorder="1"/>
    <xf numFmtId="172" fontId="6" fillId="0" borderId="2" xfId="0" applyNumberFormat="1" applyFont="1" applyFill="1" applyBorder="1" applyAlignment="1">
      <alignment horizontal="left"/>
    </xf>
    <xf numFmtId="175" fontId="7" fillId="2" borderId="6" xfId="0" applyNumberFormat="1" applyFont="1" applyFill="1" applyBorder="1" applyAlignment="1">
      <alignment horizontal="center"/>
    </xf>
    <xf numFmtId="171" fontId="7" fillId="2" borderId="8" xfId="2" applyFont="1" applyFill="1" applyBorder="1" applyProtection="1"/>
    <xf numFmtId="171" fontId="6" fillId="4" borderId="24" xfId="2" applyFont="1" applyFill="1" applyBorder="1" applyAlignment="1">
      <alignment horizontal="center"/>
    </xf>
    <xf numFmtId="171" fontId="7" fillId="11" borderId="1" xfId="2" applyFont="1" applyFill="1" applyBorder="1" applyProtection="1"/>
    <xf numFmtId="0" fontId="6" fillId="10" borderId="25" xfId="2" applyNumberFormat="1" applyFont="1" applyFill="1" applyBorder="1" applyAlignment="1">
      <alignment horizontal="center" vertical="center" wrapText="1"/>
    </xf>
    <xf numFmtId="171" fontId="49" fillId="11" borderId="29" xfId="1" applyFont="1" applyFill="1" applyBorder="1" applyAlignment="1">
      <alignment horizontal="left" vertical="center" wrapText="1"/>
    </xf>
    <xf numFmtId="171" fontId="42" fillId="11" borderId="30" xfId="1" applyFont="1" applyFill="1" applyBorder="1" applyAlignment="1">
      <alignment horizontal="left" vertical="center" wrapText="1"/>
    </xf>
    <xf numFmtId="171" fontId="49" fillId="11" borderId="29" xfId="1" applyFont="1" applyFill="1" applyBorder="1"/>
    <xf numFmtId="171" fontId="42" fillId="11" borderId="30" xfId="1" applyFont="1" applyFill="1" applyBorder="1"/>
    <xf numFmtId="0" fontId="41" fillId="11" borderId="45" xfId="0" applyFont="1" applyFill="1" applyBorder="1" applyAlignment="1">
      <alignment wrapText="1"/>
    </xf>
    <xf numFmtId="171" fontId="41" fillId="0" borderId="45" xfId="2" applyFont="1" applyFill="1" applyBorder="1"/>
    <xf numFmtId="0" fontId="41" fillId="11" borderId="45" xfId="0" applyFont="1" applyFill="1" applyBorder="1" applyAlignment="1">
      <alignment horizontal="left" vertical="center"/>
    </xf>
    <xf numFmtId="171" fontId="41" fillId="11" borderId="45" xfId="2" applyFont="1" applyFill="1" applyBorder="1" applyAlignment="1">
      <alignment vertical="center"/>
    </xf>
    <xf numFmtId="171" fontId="41" fillId="0" borderId="45" xfId="2" applyFont="1" applyFill="1" applyBorder="1" applyAlignment="1">
      <alignment vertical="center"/>
    </xf>
    <xf numFmtId="0" fontId="41" fillId="0" borderId="46" xfId="0" applyFont="1" applyBorder="1"/>
    <xf numFmtId="171" fontId="41" fillId="0" borderId="47" xfId="2" applyFont="1" applyBorder="1"/>
    <xf numFmtId="171" fontId="41" fillId="0" borderId="48" xfId="2" applyFont="1" applyBorder="1" applyAlignment="1">
      <alignment vertical="center"/>
    </xf>
    <xf numFmtId="10" fontId="44" fillId="15" borderId="1" xfId="12" applyNumberFormat="1" applyFont="1" applyFill="1" applyBorder="1" applyAlignment="1">
      <alignment horizontal="center" vertical="center"/>
    </xf>
    <xf numFmtId="184" fontId="6" fillId="0" borderId="2" xfId="2" applyNumberFormat="1" applyFont="1" applyFill="1" applyBorder="1" applyProtection="1"/>
    <xf numFmtId="10" fontId="6" fillId="15" borderId="1" xfId="12" applyNumberFormat="1" applyFont="1" applyFill="1" applyBorder="1" applyAlignment="1">
      <alignment horizontal="center" vertical="center"/>
    </xf>
    <xf numFmtId="171" fontId="49" fillId="0" borderId="29" xfId="2" applyFont="1" applyBorder="1"/>
    <xf numFmtId="171" fontId="49" fillId="0" borderId="29" xfId="2" applyFont="1" applyBorder="1" applyAlignment="1">
      <alignment vertical="center"/>
    </xf>
    <xf numFmtId="171" fontId="49" fillId="0" borderId="49" xfId="2" applyFont="1" applyBorder="1" applyAlignment="1">
      <alignment vertical="center"/>
    </xf>
    <xf numFmtId="0" fontId="23" fillId="0" borderId="0" xfId="0" applyFont="1" applyAlignment="1">
      <alignment horizontal="center"/>
    </xf>
    <xf numFmtId="171" fontId="23" fillId="0" borderId="0" xfId="0" applyNumberFormat="1" applyFont="1" applyAlignment="1">
      <alignment horizontal="center"/>
    </xf>
    <xf numFmtId="0" fontId="23" fillId="0" borderId="50" xfId="0" applyFont="1" applyBorder="1" applyAlignment="1">
      <alignment horizontal="center"/>
    </xf>
    <xf numFmtId="171" fontId="23" fillId="0" borderId="0" xfId="1" applyFont="1" applyAlignment="1">
      <alignment horizontal="center"/>
    </xf>
    <xf numFmtId="0" fontId="50" fillId="0" borderId="0" xfId="0" applyFont="1" applyAlignment="1">
      <alignment horizontal="center"/>
    </xf>
    <xf numFmtId="4" fontId="28" fillId="0" borderId="0" xfId="0" applyNumberFormat="1" applyFont="1"/>
    <xf numFmtId="171" fontId="6" fillId="8" borderId="5" xfId="1" applyNumberFormat="1" applyFont="1" applyFill="1" applyBorder="1"/>
    <xf numFmtId="171" fontId="23" fillId="0" borderId="0" xfId="1" applyFont="1"/>
    <xf numFmtId="171" fontId="23" fillId="0" borderId="50" xfId="1" applyFont="1" applyBorder="1"/>
    <xf numFmtId="4" fontId="7" fillId="2" borderId="0" xfId="0" applyNumberFormat="1" applyFont="1" applyFill="1"/>
    <xf numFmtId="175" fontId="7" fillId="11" borderId="2" xfId="0" applyNumberFormat="1" applyFont="1" applyFill="1" applyBorder="1" applyAlignment="1">
      <alignment horizontal="center"/>
    </xf>
    <xf numFmtId="171" fontId="7" fillId="11" borderId="8" xfId="2" applyFont="1" applyFill="1" applyBorder="1"/>
    <xf numFmtId="0" fontId="7" fillId="11" borderId="0" xfId="0" applyFont="1" applyFill="1"/>
    <xf numFmtId="10" fontId="7" fillId="11" borderId="7" xfId="2" applyNumberFormat="1" applyFont="1" applyFill="1" applyBorder="1"/>
    <xf numFmtId="10" fontId="7" fillId="11" borderId="9" xfId="12" applyNumberFormat="1" applyFont="1" applyFill="1" applyBorder="1" applyAlignment="1" applyProtection="1">
      <alignment horizontal="center"/>
    </xf>
    <xf numFmtId="39" fontId="7" fillId="11" borderId="10" xfId="0" applyNumberFormat="1" applyFont="1" applyFill="1" applyBorder="1"/>
    <xf numFmtId="171" fontId="7" fillId="11" borderId="0" xfId="0" applyNumberFormat="1" applyFont="1" applyFill="1"/>
    <xf numFmtId="14" fontId="7" fillId="11" borderId="0" xfId="0" applyNumberFormat="1" applyFont="1" applyFill="1"/>
    <xf numFmtId="175" fontId="6" fillId="0" borderId="2" xfId="0" applyNumberFormat="1" applyFont="1" applyFill="1" applyBorder="1"/>
    <xf numFmtId="0" fontId="42" fillId="0" borderId="5" xfId="0" applyFont="1" applyBorder="1" applyAlignment="1">
      <alignment horizontal="left" wrapText="1"/>
    </xf>
    <xf numFmtId="0" fontId="41" fillId="0" borderId="43" xfId="0" applyFont="1" applyBorder="1" applyAlignment="1">
      <alignment horizontal="left"/>
    </xf>
    <xf numFmtId="0" fontId="41" fillId="0" borderId="4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41" fillId="0" borderId="43" xfId="0" applyFont="1" applyBorder="1" applyAlignment="1">
      <alignment vertical="top"/>
    </xf>
    <xf numFmtId="170" fontId="41" fillId="17" borderId="44" xfId="4" applyFont="1" applyFill="1" applyBorder="1" applyAlignment="1">
      <alignment vertical="top"/>
    </xf>
    <xf numFmtId="171" fontId="41" fillId="0" borderId="43" xfId="2" applyFont="1" applyBorder="1" applyAlignment="1">
      <alignment vertical="top" wrapText="1"/>
    </xf>
    <xf numFmtId="190" fontId="42" fillId="17" borderId="44" xfId="2" applyNumberFormat="1" applyFont="1" applyFill="1" applyBorder="1" applyAlignment="1">
      <alignment vertical="top"/>
    </xf>
    <xf numFmtId="171" fontId="41" fillId="10" borderId="43" xfId="2" applyFont="1" applyFill="1" applyBorder="1" applyAlignment="1">
      <alignment horizontal="center" vertical="top" wrapText="1"/>
    </xf>
    <xf numFmtId="171" fontId="41" fillId="10" borderId="44" xfId="2" applyFont="1" applyFill="1" applyBorder="1" applyAlignment="1">
      <alignment horizontal="center" vertical="top" wrapText="1"/>
    </xf>
    <xf numFmtId="171" fontId="41" fillId="0" borderId="43" xfId="2" applyFont="1" applyFill="1" applyBorder="1" applyAlignment="1">
      <alignment horizontal="left" vertical="center" wrapText="1"/>
    </xf>
    <xf numFmtId="171" fontId="42" fillId="0" borderId="44" xfId="2" applyFont="1" applyFill="1" applyBorder="1" applyAlignment="1">
      <alignment horizontal="center" vertical="center" wrapText="1"/>
    </xf>
    <xf numFmtId="171" fontId="41" fillId="0" borderId="43" xfId="2" applyFont="1" applyBorder="1" applyAlignment="1">
      <alignment horizontal="left" vertical="top" wrapText="1"/>
    </xf>
    <xf numFmtId="190" fontId="42" fillId="11" borderId="44" xfId="2" applyNumberFormat="1" applyFont="1" applyFill="1" applyBorder="1" applyAlignment="1">
      <alignment horizontal="left" vertical="top" wrapText="1"/>
    </xf>
    <xf numFmtId="171" fontId="41" fillId="10" borderId="43" xfId="2" applyFont="1" applyFill="1" applyBorder="1" applyAlignment="1">
      <alignment horizontal="left" vertical="top" wrapText="1"/>
    </xf>
    <xf numFmtId="170" fontId="42" fillId="17" borderId="44" xfId="4" applyFont="1" applyFill="1" applyBorder="1" applyAlignment="1">
      <alignment vertical="top" wrapText="1"/>
    </xf>
    <xf numFmtId="190" fontId="42" fillId="17" borderId="44" xfId="2" applyNumberFormat="1" applyFont="1" applyFill="1" applyBorder="1" applyAlignment="1">
      <alignment vertical="top" wrapText="1"/>
    </xf>
    <xf numFmtId="0" fontId="41" fillId="0" borderId="43" xfId="0" applyFont="1" applyBorder="1" applyAlignment="1">
      <alignment horizontal="left" vertical="top"/>
    </xf>
    <xf numFmtId="190" fontId="42" fillId="11" borderId="44" xfId="2" applyNumberFormat="1" applyFont="1" applyFill="1" applyBorder="1" applyAlignment="1">
      <alignment vertical="top"/>
    </xf>
    <xf numFmtId="0" fontId="41" fillId="10" borderId="43" xfId="0" applyFont="1" applyFill="1" applyBorder="1" applyAlignment="1">
      <alignment horizontal="center" vertical="top"/>
    </xf>
    <xf numFmtId="0" fontId="41" fillId="10" borderId="44" xfId="0" applyFont="1" applyFill="1" applyBorder="1" applyAlignment="1">
      <alignment horizontal="center" vertical="top"/>
    </xf>
    <xf numFmtId="0" fontId="41" fillId="0" borderId="43" xfId="0" applyFont="1" applyFill="1" applyBorder="1" applyAlignment="1">
      <alignment horizontal="left" vertical="top"/>
    </xf>
    <xf numFmtId="0" fontId="41" fillId="10" borderId="43" xfId="0" applyFont="1" applyFill="1" applyBorder="1" applyAlignment="1">
      <alignment horizontal="center" vertical="top" wrapText="1"/>
    </xf>
    <xf numFmtId="0" fontId="41" fillId="10" borderId="44" xfId="0" applyFont="1" applyFill="1" applyBorder="1" applyAlignment="1">
      <alignment horizontal="center" vertical="top" wrapText="1"/>
    </xf>
    <xf numFmtId="0" fontId="41" fillId="0" borderId="43" xfId="0" applyFont="1" applyFill="1" applyBorder="1" applyAlignment="1">
      <alignment horizontal="left" vertical="center" wrapText="1"/>
    </xf>
    <xf numFmtId="0" fontId="42" fillId="10" borderId="43" xfId="0" applyFont="1" applyFill="1" applyBorder="1" applyAlignment="1">
      <alignment horizontal="center" vertical="top"/>
    </xf>
    <xf numFmtId="0" fontId="42" fillId="10" borderId="44" xfId="0" applyFont="1" applyFill="1" applyBorder="1" applyAlignment="1">
      <alignment horizontal="center" vertical="top"/>
    </xf>
    <xf numFmtId="0" fontId="0" fillId="10" borderId="43" xfId="0" applyFill="1" applyBorder="1" applyAlignment="1">
      <alignment horizontal="center" vertical="top"/>
    </xf>
    <xf numFmtId="0" fontId="0" fillId="10" borderId="44" xfId="0" applyFill="1" applyBorder="1" applyAlignment="1">
      <alignment horizontal="center" vertical="top"/>
    </xf>
    <xf numFmtId="0" fontId="5" fillId="0" borderId="5" xfId="7" applyFill="1" applyBorder="1"/>
    <xf numFmtId="0" fontId="51" fillId="0" borderId="5" xfId="7" applyFont="1" applyFill="1" applyBorder="1" applyAlignment="1">
      <alignment horizontal="center" vertical="center"/>
    </xf>
    <xf numFmtId="0" fontId="51" fillId="0" borderId="5" xfId="7" applyFont="1" applyFill="1" applyBorder="1" applyAlignment="1">
      <alignment horizontal="center" vertical="center" wrapText="1"/>
    </xf>
    <xf numFmtId="0" fontId="41" fillId="0" borderId="5" xfId="7" applyFont="1" applyFill="1" applyBorder="1" applyAlignment="1">
      <alignment horizontal="center" vertical="center"/>
    </xf>
    <xf numFmtId="0" fontId="5" fillId="0" borderId="5" xfId="7" applyFill="1" applyBorder="1" applyAlignment="1"/>
    <xf numFmtId="0" fontId="41" fillId="0" borderId="5" xfId="7" applyFont="1" applyFill="1" applyBorder="1" applyAlignment="1">
      <alignment horizontal="center" vertical="center" wrapText="1"/>
    </xf>
    <xf numFmtId="184" fontId="35" fillId="0" borderId="5" xfId="2" applyNumberFormat="1" applyFont="1" applyFill="1" applyBorder="1" applyAlignment="1">
      <alignment horizontal="center" vertical="center"/>
    </xf>
    <xf numFmtId="171" fontId="51" fillId="0" borderId="5" xfId="2" applyFont="1" applyFill="1" applyBorder="1" applyAlignment="1">
      <alignment horizontal="center" vertical="center"/>
    </xf>
    <xf numFmtId="15" fontId="34" fillId="0" borderId="5" xfId="7" applyNumberFormat="1" applyFont="1" applyFill="1" applyBorder="1" applyAlignment="1">
      <alignment horizontal="center" vertical="center"/>
    </xf>
    <xf numFmtId="171" fontId="42" fillId="0" borderId="5" xfId="2" applyFont="1" applyFill="1" applyBorder="1" applyAlignment="1">
      <alignment vertical="center"/>
    </xf>
    <xf numFmtId="171" fontId="47" fillId="0" borderId="5" xfId="1" applyFont="1" applyFill="1" applyBorder="1"/>
    <xf numFmtId="171" fontId="50" fillId="0" borderId="5" xfId="1" applyFont="1" applyFill="1" applyBorder="1"/>
    <xf numFmtId="171" fontId="47" fillId="11" borderId="5" xfId="1" applyFont="1" applyFill="1" applyBorder="1"/>
    <xf numFmtId="171" fontId="50" fillId="11" borderId="5" xfId="1" applyFont="1" applyFill="1" applyBorder="1"/>
    <xf numFmtId="15" fontId="34" fillId="11" borderId="5" xfId="7" applyNumberFormat="1" applyFont="1" applyFill="1" applyBorder="1" applyAlignment="1">
      <alignment horizontal="center" vertical="center"/>
    </xf>
    <xf numFmtId="171" fontId="42" fillId="11" borderId="5" xfId="2" applyFont="1" applyFill="1" applyBorder="1" applyAlignment="1">
      <alignment vertical="center"/>
    </xf>
    <xf numFmtId="0" fontId="5" fillId="11" borderId="5" xfId="7" applyFill="1" applyBorder="1"/>
    <xf numFmtId="171" fontId="5" fillId="0" borderId="5" xfId="7" applyNumberFormat="1" applyFill="1" applyBorder="1"/>
    <xf numFmtId="184" fontId="34" fillId="11" borderId="5" xfId="2" applyNumberFormat="1" applyFont="1" applyFill="1" applyBorder="1" applyAlignment="1">
      <alignment vertical="center"/>
    </xf>
    <xf numFmtId="0" fontId="5" fillId="11" borderId="5" xfId="7" applyFont="1" applyFill="1" applyBorder="1"/>
    <xf numFmtId="172" fontId="7" fillId="11" borderId="2" xfId="0" applyNumberFormat="1" applyFont="1" applyFill="1" applyBorder="1"/>
    <xf numFmtId="0" fontId="13" fillId="11" borderId="0" xfId="0" applyFont="1" applyFill="1"/>
    <xf numFmtId="184" fontId="5" fillId="0" borderId="5" xfId="7" applyNumberFormat="1" applyFill="1" applyBorder="1"/>
    <xf numFmtId="171" fontId="7" fillId="11" borderId="0" xfId="2" applyFont="1" applyFill="1" applyBorder="1"/>
    <xf numFmtId="0" fontId="41" fillId="11" borderId="28" xfId="0" applyFont="1" applyFill="1" applyBorder="1" applyAlignment="1">
      <alignment horizontal="center"/>
    </xf>
    <xf numFmtId="171" fontId="49" fillId="11" borderId="29" xfId="2" applyFont="1" applyFill="1" applyBorder="1"/>
    <xf numFmtId="171" fontId="42" fillId="11" borderId="30" xfId="2" applyFont="1" applyFill="1" applyBorder="1"/>
    <xf numFmtId="171" fontId="42" fillId="11" borderId="31" xfId="2" applyFont="1" applyFill="1" applyBorder="1"/>
    <xf numFmtId="171" fontId="41" fillId="11" borderId="45" xfId="2" applyFont="1" applyFill="1" applyBorder="1"/>
    <xf numFmtId="171" fontId="49" fillId="11" borderId="29" xfId="2" applyFont="1" applyFill="1" applyBorder="1" applyAlignment="1">
      <alignment vertical="center"/>
    </xf>
    <xf numFmtId="171" fontId="42" fillId="11" borderId="30" xfId="2" applyFont="1" applyFill="1" applyBorder="1" applyAlignment="1">
      <alignment vertical="center"/>
    </xf>
    <xf numFmtId="171" fontId="42" fillId="11" borderId="31" xfId="1" applyFont="1" applyFill="1" applyBorder="1" applyAlignment="1">
      <alignment vertical="center"/>
    </xf>
    <xf numFmtId="0" fontId="47" fillId="11" borderId="0" xfId="0" applyFont="1" applyFill="1"/>
    <xf numFmtId="0" fontId="0" fillId="11" borderId="0" xfId="0" applyFill="1"/>
    <xf numFmtId="171" fontId="42" fillId="11" borderId="37" xfId="2" applyFont="1" applyFill="1" applyBorder="1" applyAlignment="1">
      <alignment vertical="center"/>
    </xf>
    <xf numFmtId="171" fontId="42" fillId="11" borderId="51" xfId="1" applyFont="1" applyFill="1" applyBorder="1" applyAlignment="1">
      <alignment vertical="center"/>
    </xf>
    <xf numFmtId="171" fontId="42" fillId="11" borderId="52" xfId="2" applyFont="1" applyFill="1" applyBorder="1"/>
    <xf numFmtId="1" fontId="6" fillId="9" borderId="25" xfId="2" applyNumberFormat="1" applyFont="1" applyFill="1" applyBorder="1" applyAlignment="1">
      <alignment horizontal="center" wrapText="1"/>
    </xf>
    <xf numFmtId="171" fontId="23" fillId="18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171" fontId="50" fillId="0" borderId="0" xfId="1" applyFont="1"/>
    <xf numFmtId="171" fontId="7" fillId="11" borderId="0" xfId="1" applyFont="1" applyFill="1"/>
    <xf numFmtId="175" fontId="6" fillId="11" borderId="2" xfId="0" applyNumberFormat="1" applyFont="1" applyFill="1" applyBorder="1"/>
    <xf numFmtId="175" fontId="7" fillId="2" borderId="0" xfId="0" applyNumberFormat="1" applyFont="1" applyFill="1" applyBorder="1" applyAlignment="1">
      <alignment horizontal="center"/>
    </xf>
    <xf numFmtId="4" fontId="23" fillId="0" borderId="0" xfId="0" applyNumberFormat="1" applyFont="1" applyAlignment="1">
      <alignment horizontal="center"/>
    </xf>
    <xf numFmtId="171" fontId="7" fillId="11" borderId="5" xfId="2" applyFont="1" applyFill="1" applyBorder="1" applyProtection="1"/>
    <xf numFmtId="4" fontId="0" fillId="0" borderId="0" xfId="0" applyNumberFormat="1" applyAlignment="1">
      <alignment horizontal="center"/>
    </xf>
    <xf numFmtId="15" fontId="52" fillId="18" borderId="5" xfId="7" applyNumberFormat="1" applyFont="1" applyFill="1" applyBorder="1" applyAlignment="1">
      <alignment horizontal="center" vertical="center"/>
    </xf>
    <xf numFmtId="184" fontId="52" fillId="18" borderId="5" xfId="2" applyNumberFormat="1" applyFont="1" applyFill="1" applyBorder="1" applyAlignment="1">
      <alignment vertical="center"/>
    </xf>
    <xf numFmtId="184" fontId="53" fillId="18" borderId="5" xfId="2" applyNumberFormat="1" applyFont="1" applyFill="1" applyBorder="1" applyAlignment="1">
      <alignment vertical="center"/>
    </xf>
    <xf numFmtId="175" fontId="6" fillId="0" borderId="6" xfId="0" applyNumberFormat="1" applyFont="1" applyFill="1" applyBorder="1"/>
    <xf numFmtId="171" fontId="44" fillId="11" borderId="5" xfId="2" applyFont="1" applyFill="1" applyBorder="1"/>
    <xf numFmtId="171" fontId="44" fillId="2" borderId="5" xfId="2" applyFont="1" applyFill="1" applyBorder="1"/>
    <xf numFmtId="171" fontId="42" fillId="11" borderId="5" xfId="1" applyFont="1" applyFill="1" applyBorder="1"/>
    <xf numFmtId="171" fontId="42" fillId="11" borderId="5" xfId="2" applyFont="1" applyFill="1" applyBorder="1"/>
    <xf numFmtId="171" fontId="42" fillId="11" borderId="4" xfId="2" applyFont="1" applyFill="1" applyBorder="1"/>
    <xf numFmtId="171" fontId="6" fillId="11" borderId="1" xfId="2" applyFont="1" applyFill="1" applyBorder="1"/>
    <xf numFmtId="171" fontId="6" fillId="11" borderId="5" xfId="2" applyFont="1" applyFill="1" applyBorder="1"/>
    <xf numFmtId="190" fontId="42" fillId="0" borderId="44" xfId="4" applyNumberFormat="1" applyFont="1" applyFill="1" applyBorder="1" applyAlignment="1">
      <alignment vertical="top"/>
    </xf>
    <xf numFmtId="190" fontId="41" fillId="0" borderId="44" xfId="2" applyNumberFormat="1" applyFont="1" applyFill="1" applyBorder="1" applyAlignment="1">
      <alignment vertical="top"/>
    </xf>
    <xf numFmtId="4" fontId="0" fillId="0" borderId="0" xfId="0" applyNumberFormat="1"/>
    <xf numFmtId="171" fontId="41" fillId="11" borderId="5" xfId="7" applyNumberFormat="1" applyFont="1" applyFill="1" applyBorder="1"/>
    <xf numFmtId="171" fontId="7" fillId="11" borderId="2" xfId="1" applyFont="1" applyFill="1" applyBorder="1" applyProtection="1"/>
    <xf numFmtId="170" fontId="41" fillId="11" borderId="44" xfId="5" applyFont="1" applyFill="1" applyBorder="1" applyAlignment="1">
      <alignment horizontal="center" vertical="center"/>
    </xf>
    <xf numFmtId="0" fontId="41" fillId="11" borderId="44" xfId="0" applyFont="1" applyFill="1" applyBorder="1" applyAlignment="1">
      <alignment horizontal="center" vertical="center"/>
    </xf>
    <xf numFmtId="0" fontId="41" fillId="0" borderId="53" xfId="0" applyFont="1" applyBorder="1" applyAlignment="1">
      <alignment horizontal="left" vertical="top"/>
    </xf>
    <xf numFmtId="182" fontId="41" fillId="11" borderId="54" xfId="0" applyNumberFormat="1" applyFont="1" applyFill="1" applyBorder="1" applyAlignment="1">
      <alignment horizontal="center" vertical="center"/>
    </xf>
    <xf numFmtId="171" fontId="7" fillId="11" borderId="5" xfId="1" applyFont="1" applyFill="1" applyBorder="1"/>
    <xf numFmtId="171" fontId="6" fillId="2" borderId="0" xfId="0" applyNumberFormat="1" applyFont="1" applyFill="1"/>
    <xf numFmtId="0" fontId="8" fillId="11" borderId="3" xfId="0" applyFont="1" applyFill="1" applyBorder="1" applyAlignment="1">
      <alignment horizontal="left"/>
    </xf>
    <xf numFmtId="0" fontId="41" fillId="10" borderId="32" xfId="0" applyFont="1" applyFill="1" applyBorder="1" applyAlignment="1">
      <alignment horizontal="center"/>
    </xf>
    <xf numFmtId="175" fontId="7" fillId="11" borderId="6" xfId="0" applyNumberFormat="1" applyFont="1" applyFill="1" applyBorder="1" applyAlignment="1">
      <alignment horizontal="center"/>
    </xf>
    <xf numFmtId="171" fontId="7" fillId="11" borderId="8" xfId="2" applyFont="1" applyFill="1" applyBorder="1" applyProtection="1"/>
    <xf numFmtId="0" fontId="32" fillId="2" borderId="3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171" fontId="6" fillId="4" borderId="55" xfId="2" applyFont="1" applyFill="1" applyBorder="1" applyAlignment="1">
      <alignment horizontal="center"/>
    </xf>
    <xf numFmtId="171" fontId="6" fillId="4" borderId="56" xfId="2" applyFont="1" applyFill="1" applyBorder="1" applyAlignment="1">
      <alignment horizontal="center"/>
    </xf>
    <xf numFmtId="171" fontId="6" fillId="4" borderId="57" xfId="2" applyFont="1" applyFill="1" applyBorder="1" applyAlignment="1">
      <alignment horizontal="center"/>
    </xf>
    <xf numFmtId="171" fontId="6" fillId="4" borderId="58" xfId="2" applyFont="1" applyFill="1" applyBorder="1" applyAlignment="1">
      <alignment horizontal="center"/>
    </xf>
    <xf numFmtId="184" fontId="7" fillId="11" borderId="1" xfId="2" applyNumberFormat="1" applyFont="1" applyFill="1" applyBorder="1" applyProtection="1"/>
    <xf numFmtId="184" fontId="7" fillId="2" borderId="1" xfId="2" applyNumberFormat="1" applyFont="1" applyFill="1" applyBorder="1"/>
    <xf numFmtId="184" fontId="7" fillId="11" borderId="1" xfId="2" applyNumberFormat="1" applyFont="1" applyFill="1" applyBorder="1"/>
    <xf numFmtId="175" fontId="47" fillId="11" borderId="6" xfId="0" applyNumberFormat="1" applyFont="1" applyFill="1" applyBorder="1" applyAlignment="1">
      <alignment horizontal="center"/>
    </xf>
    <xf numFmtId="39" fontId="6" fillId="4" borderId="6" xfId="0" applyNumberFormat="1" applyFont="1" applyFill="1" applyBorder="1"/>
    <xf numFmtId="0" fontId="6" fillId="4" borderId="59" xfId="0" applyFont="1" applyFill="1" applyBorder="1" applyAlignment="1">
      <alignment horizontal="center"/>
    </xf>
    <xf numFmtId="171" fontId="7" fillId="2" borderId="60" xfId="1" applyFont="1" applyFill="1" applyBorder="1"/>
    <xf numFmtId="171" fontId="6" fillId="4" borderId="6" xfId="1" applyFont="1" applyFill="1" applyBorder="1"/>
    <xf numFmtId="175" fontId="47" fillId="18" borderId="6" xfId="0" applyNumberFormat="1" applyFont="1" applyFill="1" applyBorder="1" applyAlignment="1">
      <alignment horizontal="center"/>
    </xf>
    <xf numFmtId="184" fontId="7" fillId="18" borderId="1" xfId="2" applyNumberFormat="1" applyFont="1" applyFill="1" applyBorder="1" applyProtection="1"/>
    <xf numFmtId="184" fontId="7" fillId="18" borderId="1" xfId="2" applyNumberFormat="1" applyFont="1" applyFill="1" applyBorder="1"/>
    <xf numFmtId="0" fontId="7" fillId="18" borderId="0" xfId="0" applyFont="1" applyFill="1"/>
    <xf numFmtId="10" fontId="7" fillId="18" borderId="7" xfId="2" applyNumberFormat="1" applyFont="1" applyFill="1" applyBorder="1"/>
    <xf numFmtId="10" fontId="7" fillId="18" borderId="8" xfId="12" applyNumberFormat="1" applyFont="1" applyFill="1" applyBorder="1"/>
    <xf numFmtId="10" fontId="7" fillId="18" borderId="9" xfId="12" applyNumberFormat="1" applyFont="1" applyFill="1" applyBorder="1" applyAlignment="1" applyProtection="1">
      <alignment horizontal="center"/>
    </xf>
    <xf numFmtId="171" fontId="7" fillId="18" borderId="60" xfId="1" applyFont="1" applyFill="1" applyBorder="1"/>
    <xf numFmtId="171" fontId="7" fillId="18" borderId="5" xfId="1" applyFont="1" applyFill="1" applyBorder="1"/>
    <xf numFmtId="171" fontId="7" fillId="18" borderId="0" xfId="1" applyFont="1" applyFill="1"/>
    <xf numFmtId="0" fontId="7" fillId="2" borderId="0" xfId="0" applyFont="1" applyFill="1" applyAlignment="1">
      <alignment horizontal="right"/>
    </xf>
    <xf numFmtId="10" fontId="7" fillId="11" borderId="8" xfId="12" applyNumberFormat="1" applyFont="1" applyFill="1" applyBorder="1"/>
    <xf numFmtId="10" fontId="7" fillId="0" borderId="8" xfId="12" applyNumberFormat="1" applyFont="1" applyFill="1" applyBorder="1"/>
    <xf numFmtId="171" fontId="0" fillId="0" borderId="0" xfId="1" applyFont="1"/>
    <xf numFmtId="43" fontId="7" fillId="11" borderId="0" xfId="0" applyNumberFormat="1" applyFont="1" applyFill="1"/>
    <xf numFmtId="171" fontId="7" fillId="11" borderId="20" xfId="2" applyFont="1" applyFill="1" applyBorder="1" applyProtection="1"/>
    <xf numFmtId="43" fontId="23" fillId="0" borderId="0" xfId="0" applyNumberFormat="1" applyFont="1"/>
    <xf numFmtId="171" fontId="23" fillId="0" borderId="0" xfId="0" applyNumberFormat="1" applyFont="1"/>
    <xf numFmtId="175" fontId="47" fillId="10" borderId="6" xfId="0" applyNumberFormat="1" applyFont="1" applyFill="1" applyBorder="1" applyAlignment="1">
      <alignment horizontal="center"/>
    </xf>
    <xf numFmtId="184" fontId="7" fillId="10" borderId="1" xfId="2" applyNumberFormat="1" applyFont="1" applyFill="1" applyBorder="1" applyProtection="1"/>
    <xf numFmtId="184" fontId="7" fillId="10" borderId="1" xfId="2" applyNumberFormat="1" applyFont="1" applyFill="1" applyBorder="1"/>
    <xf numFmtId="0" fontId="7" fillId="10" borderId="0" xfId="0" applyFont="1" applyFill="1"/>
    <xf numFmtId="10" fontId="7" fillId="10" borderId="7" xfId="2" applyNumberFormat="1" applyFont="1" applyFill="1" applyBorder="1"/>
    <xf numFmtId="10" fontId="7" fillId="10" borderId="8" xfId="12" applyNumberFormat="1" applyFont="1" applyFill="1" applyBorder="1"/>
    <xf numFmtId="10" fontId="7" fillId="10" borderId="9" xfId="12" applyNumberFormat="1" applyFont="1" applyFill="1" applyBorder="1" applyAlignment="1" applyProtection="1">
      <alignment horizontal="center"/>
    </xf>
    <xf numFmtId="171" fontId="7" fillId="10" borderId="60" xfId="1" applyFont="1" applyFill="1" applyBorder="1"/>
    <xf numFmtId="171" fontId="7" fillId="10" borderId="5" xfId="1" applyFont="1" applyFill="1" applyBorder="1"/>
    <xf numFmtId="171" fontId="7" fillId="10" borderId="0" xfId="1" applyFont="1" applyFill="1"/>
    <xf numFmtId="171" fontId="7" fillId="0" borderId="4" xfId="0" applyNumberFormat="1" applyFont="1" applyFill="1" applyBorder="1"/>
    <xf numFmtId="175" fontId="7" fillId="0" borderId="6" xfId="0" applyNumberFormat="1" applyFont="1" applyFill="1" applyBorder="1" applyAlignment="1">
      <alignment horizontal="center"/>
    </xf>
    <xf numFmtId="171" fontId="7" fillId="0" borderId="1" xfId="2" applyFont="1" applyFill="1" applyBorder="1" applyProtection="1"/>
    <xf numFmtId="10" fontId="7" fillId="0" borderId="7" xfId="12" applyNumberFormat="1" applyFont="1" applyFill="1" applyBorder="1"/>
    <xf numFmtId="10" fontId="7" fillId="0" borderId="9" xfId="12" applyNumberFormat="1" applyFont="1" applyFill="1" applyBorder="1" applyAlignment="1" applyProtection="1">
      <alignment horizontal="center"/>
    </xf>
    <xf numFmtId="39" fontId="7" fillId="0" borderId="10" xfId="0" applyNumberFormat="1" applyFont="1" applyFill="1" applyBorder="1"/>
    <xf numFmtId="10" fontId="7" fillId="0" borderId="7" xfId="2" applyNumberFormat="1" applyFont="1" applyFill="1" applyBorder="1"/>
    <xf numFmtId="175" fontId="7" fillId="2" borderId="20" xfId="0" applyNumberFormat="1" applyFont="1" applyFill="1" applyBorder="1" applyAlignment="1">
      <alignment horizontal="center"/>
    </xf>
    <xf numFmtId="171" fontId="6" fillId="4" borderId="61" xfId="2" applyFont="1" applyFill="1" applyBorder="1" applyAlignment="1">
      <alignment horizontal="center"/>
    </xf>
    <xf numFmtId="171" fontId="54" fillId="11" borderId="5" xfId="1" applyFont="1" applyFill="1" applyBorder="1"/>
    <xf numFmtId="171" fontId="5" fillId="0" borderId="0" xfId="1" applyFont="1"/>
    <xf numFmtId="43" fontId="23" fillId="0" borderId="0" xfId="0" applyNumberFormat="1" applyFont="1" applyAlignment="1">
      <alignment horizontal="center"/>
    </xf>
    <xf numFmtId="171" fontId="7" fillId="11" borderId="0" xfId="2" applyFont="1" applyFill="1"/>
    <xf numFmtId="4" fontId="7" fillId="11" borderId="0" xfId="0" applyNumberFormat="1" applyFont="1" applyFill="1"/>
    <xf numFmtId="175" fontId="6" fillId="11" borderId="6" xfId="0" applyNumberFormat="1" applyFont="1" applyFill="1" applyBorder="1"/>
    <xf numFmtId="43" fontId="0" fillId="0" borderId="0" xfId="0" applyNumberFormat="1"/>
    <xf numFmtId="0" fontId="6" fillId="8" borderId="25" xfId="2" applyNumberFormat="1" applyFont="1" applyFill="1" applyBorder="1" applyAlignment="1">
      <alignment horizontal="center" vertical="center" wrapText="1"/>
    </xf>
    <xf numFmtId="0" fontId="6" fillId="8" borderId="4" xfId="0" applyFont="1" applyFill="1" applyBorder="1"/>
    <xf numFmtId="171" fontId="6" fillId="8" borderId="1" xfId="2" applyFont="1" applyFill="1" applyBorder="1"/>
    <xf numFmtId="0" fontId="7" fillId="2" borderId="12" xfId="0" applyFont="1" applyFill="1" applyBorder="1" applyAlignment="1"/>
    <xf numFmtId="0" fontId="6" fillId="0" borderId="35" xfId="0" applyFont="1" applyBorder="1" applyAlignment="1"/>
    <xf numFmtId="0" fontId="6" fillId="0" borderId="35" xfId="0" quotePrefix="1" applyFont="1" applyBorder="1" applyAlignment="1">
      <alignment horizontal="right"/>
    </xf>
    <xf numFmtId="0" fontId="6" fillId="2" borderId="35" xfId="0" applyFont="1" applyFill="1" applyBorder="1" applyAlignment="1"/>
    <xf numFmtId="1" fontId="6" fillId="9" borderId="62" xfId="2" quotePrefix="1" applyNumberFormat="1" applyFont="1" applyFill="1" applyBorder="1" applyAlignment="1">
      <alignment horizontal="center" vertical="center" wrapText="1"/>
    </xf>
    <xf numFmtId="171" fontId="6" fillId="4" borderId="62" xfId="2" applyFont="1" applyFill="1" applyBorder="1" applyAlignment="1">
      <alignment horizontal="center" vertical="center" wrapText="1"/>
    </xf>
    <xf numFmtId="171" fontId="6" fillId="0" borderId="4" xfId="0" applyNumberFormat="1" applyFont="1" applyFill="1" applyBorder="1"/>
    <xf numFmtId="171" fontId="55" fillId="0" borderId="0" xfId="1" applyFont="1"/>
    <xf numFmtId="171" fontId="50" fillId="0" borderId="4" xfId="2" applyFont="1" applyFill="1" applyBorder="1"/>
    <xf numFmtId="0" fontId="29" fillId="2" borderId="0" xfId="0" applyFont="1" applyFill="1" applyBorder="1" applyAlignment="1"/>
    <xf numFmtId="0" fontId="8" fillId="0" borderId="3" xfId="0" applyFont="1" applyBorder="1" applyAlignment="1">
      <alignment horizontal="left"/>
    </xf>
    <xf numFmtId="171" fontId="7" fillId="0" borderId="24" xfId="2" applyFont="1" applyFill="1" applyBorder="1"/>
    <xf numFmtId="0" fontId="42" fillId="0" borderId="0" xfId="0" applyFont="1"/>
    <xf numFmtId="0" fontId="42" fillId="0" borderId="0" xfId="0" applyFont="1" applyAlignment="1">
      <alignment horizontal="center" vertical="center"/>
    </xf>
    <xf numFmtId="171" fontId="42" fillId="0" borderId="0" xfId="1" applyFont="1"/>
    <xf numFmtId="43" fontId="42" fillId="0" borderId="0" xfId="0" applyNumberFormat="1" applyFont="1"/>
    <xf numFmtId="4" fontId="42" fillId="0" borderId="0" xfId="0" applyNumberFormat="1" applyFont="1"/>
    <xf numFmtId="175" fontId="47" fillId="0" borderId="6" xfId="0" applyNumberFormat="1" applyFont="1" applyFill="1" applyBorder="1" applyAlignment="1">
      <alignment horizontal="center"/>
    </xf>
    <xf numFmtId="184" fontId="7" fillId="0" borderId="1" xfId="2" applyNumberFormat="1" applyFont="1" applyFill="1" applyBorder="1" applyProtection="1"/>
    <xf numFmtId="184" fontId="7" fillId="0" borderId="1" xfId="2" applyNumberFormat="1" applyFont="1" applyFill="1" applyBorder="1"/>
    <xf numFmtId="171" fontId="7" fillId="0" borderId="60" xfId="1" applyFont="1" applyFill="1" applyBorder="1"/>
    <xf numFmtId="171" fontId="6" fillId="0" borderId="0" xfId="1" applyFont="1" applyFill="1"/>
    <xf numFmtId="171" fontId="47" fillId="0" borderId="0" xfId="1" applyFont="1"/>
    <xf numFmtId="0" fontId="5" fillId="0" borderId="0" xfId="0" applyFont="1"/>
    <xf numFmtId="171" fontId="42" fillId="0" borderId="44" xfId="1" applyFont="1" applyFill="1" applyBorder="1" applyAlignment="1">
      <alignment horizontal="center" vertical="center" wrapText="1"/>
    </xf>
    <xf numFmtId="171" fontId="47" fillId="0" borderId="5" xfId="1" applyFont="1" applyFill="1" applyBorder="1" applyAlignment="1"/>
    <xf numFmtId="0" fontId="7" fillId="0" borderId="0" xfId="0" applyFont="1" applyFill="1" applyBorder="1" applyAlignment="1">
      <alignment horizontal="center"/>
    </xf>
    <xf numFmtId="17" fontId="8" fillId="0" borderId="0" xfId="0" applyNumberFormat="1" applyFont="1" applyFill="1" applyBorder="1" applyAlignment="1">
      <alignment horizontal="right"/>
    </xf>
    <xf numFmtId="174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71" fontId="6" fillId="0" borderId="0" xfId="2" applyFont="1" applyFill="1" applyBorder="1" applyAlignment="1">
      <alignment horizontal="center" vertical="center" wrapText="1"/>
    </xf>
    <xf numFmtId="171" fontId="7" fillId="0" borderId="0" xfId="2" applyFont="1" applyFill="1" applyBorder="1"/>
    <xf numFmtId="10" fontId="6" fillId="0" borderId="0" xfId="12" applyNumberFormat="1" applyFont="1" applyFill="1" applyBorder="1" applyAlignment="1">
      <alignment horizontal="center" vertical="center"/>
    </xf>
    <xf numFmtId="171" fontId="6" fillId="0" borderId="0" xfId="2" applyFont="1" applyFill="1" applyBorder="1"/>
    <xf numFmtId="0" fontId="7" fillId="0" borderId="0" xfId="0" applyFont="1" applyFill="1" applyAlignment="1">
      <alignment horizontal="center"/>
    </xf>
    <xf numFmtId="171" fontId="44" fillId="0" borderId="0" xfId="2" applyFont="1" applyFill="1" applyBorder="1"/>
    <xf numFmtId="184" fontId="56" fillId="11" borderId="5" xfId="2" applyNumberFormat="1" applyFont="1" applyFill="1" applyBorder="1" applyAlignment="1">
      <alignment vertical="center"/>
    </xf>
    <xf numFmtId="184" fontId="56" fillId="0" borderId="5" xfId="2" applyNumberFormat="1" applyFont="1" applyFill="1" applyBorder="1" applyAlignment="1">
      <alignment vertical="center"/>
    </xf>
    <xf numFmtId="171" fontId="23" fillId="0" borderId="0" xfId="0" applyNumberFormat="1" applyFont="1" applyFill="1" applyAlignment="1">
      <alignment horizontal="center"/>
    </xf>
    <xf numFmtId="184" fontId="34" fillId="0" borderId="5" xfId="2" applyNumberFormat="1" applyFont="1" applyFill="1" applyBorder="1" applyAlignment="1">
      <alignment vertical="center"/>
    </xf>
    <xf numFmtId="0" fontId="5" fillId="0" borderId="5" xfId="7" applyFont="1" applyFill="1" applyBorder="1"/>
    <xf numFmtId="171" fontId="6" fillId="0" borderId="1" xfId="2" applyFont="1" applyFill="1" applyBorder="1"/>
    <xf numFmtId="0" fontId="42" fillId="0" borderId="0" xfId="10" applyFont="1" applyAlignment="1">
      <alignment horizontal="center"/>
    </xf>
    <xf numFmtId="0" fontId="42" fillId="0" borderId="0" xfId="10" applyFont="1"/>
    <xf numFmtId="0" fontId="41" fillId="0" borderId="0" xfId="10" applyFont="1"/>
    <xf numFmtId="0" fontId="42" fillId="0" borderId="63" xfId="10" applyFont="1" applyBorder="1"/>
    <xf numFmtId="171" fontId="42" fillId="0" borderId="0" xfId="2" applyFont="1" applyFill="1"/>
    <xf numFmtId="0" fontId="49" fillId="0" borderId="0" xfId="10" applyFont="1" applyAlignment="1">
      <alignment horizontal="left"/>
    </xf>
    <xf numFmtId="15" fontId="42" fillId="0" borderId="0" xfId="10" applyNumberFormat="1" applyFont="1"/>
    <xf numFmtId="0" fontId="42" fillId="0" borderId="5" xfId="10" applyFont="1" applyBorder="1" applyAlignment="1">
      <alignment horizontal="center"/>
    </xf>
    <xf numFmtId="0" fontId="41" fillId="19" borderId="4" xfId="10" applyFont="1" applyFill="1" applyBorder="1" applyAlignment="1">
      <alignment horizontal="left" vertical="center"/>
    </xf>
    <xf numFmtId="0" fontId="41" fillId="19" borderId="12" xfId="10" applyFont="1" applyFill="1" applyBorder="1" applyAlignment="1">
      <alignment horizontal="left" vertical="center"/>
    </xf>
    <xf numFmtId="0" fontId="41" fillId="19" borderId="11" xfId="10" applyFont="1" applyFill="1" applyBorder="1" applyAlignment="1">
      <alignment horizontal="left" vertical="center"/>
    </xf>
    <xf numFmtId="0" fontId="57" fillId="0" borderId="0" xfId="10" applyFont="1" applyAlignment="1">
      <alignment horizontal="center"/>
    </xf>
    <xf numFmtId="0" fontId="57" fillId="0" borderId="0" xfId="10" applyFont="1" applyAlignment="1">
      <alignment horizontal="left"/>
    </xf>
    <xf numFmtId="0" fontId="49" fillId="0" borderId="64" xfId="10" applyFont="1" applyBorder="1" applyAlignment="1">
      <alignment horizontal="left"/>
    </xf>
    <xf numFmtId="0" fontId="49" fillId="0" borderId="65" xfId="10" applyFont="1" applyBorder="1" applyAlignment="1">
      <alignment horizontal="left"/>
    </xf>
    <xf numFmtId="15" fontId="49" fillId="0" borderId="66" xfId="10" applyNumberFormat="1" applyFont="1" applyBorder="1" applyAlignment="1">
      <alignment horizontal="left"/>
    </xf>
    <xf numFmtId="0" fontId="42" fillId="11" borderId="5" xfId="10" applyFont="1" applyFill="1" applyBorder="1" applyAlignment="1">
      <alignment horizontal="center"/>
    </xf>
    <xf numFmtId="0" fontId="41" fillId="11" borderId="35" xfId="10" applyFont="1" applyFill="1" applyBorder="1" applyAlignment="1">
      <alignment horizontal="left" vertical="center"/>
    </xf>
    <xf numFmtId="0" fontId="41" fillId="11" borderId="67" xfId="10" applyFont="1" applyFill="1" applyBorder="1"/>
    <xf numFmtId="15" fontId="41" fillId="11" borderId="68" xfId="10" applyNumberFormat="1" applyFont="1" applyFill="1" applyBorder="1"/>
    <xf numFmtId="0" fontId="58" fillId="11" borderId="68" xfId="10" applyFont="1" applyFill="1" applyBorder="1" applyAlignment="1">
      <alignment horizontal="left"/>
    </xf>
    <xf numFmtId="2" fontId="49" fillId="11" borderId="69" xfId="10" applyNumberFormat="1" applyFont="1" applyFill="1" applyBorder="1" applyAlignment="1">
      <alignment horizontal="center"/>
    </xf>
    <xf numFmtId="0" fontId="49" fillId="11" borderId="70" xfId="10" applyFont="1" applyFill="1" applyBorder="1" applyAlignment="1">
      <alignment horizontal="left"/>
    </xf>
    <xf numFmtId="0" fontId="49" fillId="11" borderId="66" xfId="10" applyFont="1" applyFill="1" applyBorder="1" applyAlignment="1">
      <alignment horizontal="left"/>
    </xf>
    <xf numFmtId="171" fontId="42" fillId="11" borderId="0" xfId="2" applyFont="1" applyFill="1"/>
    <xf numFmtId="0" fontId="42" fillId="11" borderId="0" xfId="10" applyFont="1" applyFill="1"/>
    <xf numFmtId="175" fontId="42" fillId="0" borderId="40" xfId="10" applyNumberFormat="1" applyFont="1" applyBorder="1" applyAlignment="1">
      <alignment horizontal="center"/>
    </xf>
    <xf numFmtId="184" fontId="42" fillId="0" borderId="40" xfId="2" applyNumberFormat="1" applyFont="1" applyFill="1" applyBorder="1" applyAlignment="1">
      <alignment horizontal="center"/>
    </xf>
    <xf numFmtId="171" fontId="41" fillId="0" borderId="40" xfId="2" applyFont="1" applyFill="1" applyBorder="1" applyAlignment="1">
      <alignment horizontal="center"/>
    </xf>
    <xf numFmtId="0" fontId="42" fillId="0" borderId="71" xfId="10" applyFont="1" applyBorder="1"/>
    <xf numFmtId="0" fontId="42" fillId="0" borderId="0" xfId="10" applyFont="1" applyAlignment="1">
      <alignment horizontal="left"/>
    </xf>
    <xf numFmtId="15" fontId="49" fillId="0" borderId="72" xfId="10" applyNumberFormat="1" applyFont="1" applyBorder="1" applyAlignment="1">
      <alignment horizontal="left"/>
    </xf>
    <xf numFmtId="15" fontId="49" fillId="0" borderId="64" xfId="10" applyNumberFormat="1" applyFont="1" applyBorder="1" applyAlignment="1">
      <alignment horizontal="left"/>
    </xf>
    <xf numFmtId="15" fontId="49" fillId="0" borderId="73" xfId="10" applyNumberFormat="1" applyFont="1" applyBorder="1" applyAlignment="1">
      <alignment horizontal="left"/>
    </xf>
    <xf numFmtId="0" fontId="41" fillId="19" borderId="74" xfId="10" applyFont="1" applyFill="1" applyBorder="1" applyAlignment="1">
      <alignment horizontal="center"/>
    </xf>
    <xf numFmtId="0" fontId="42" fillId="19" borderId="33" xfId="10" applyFont="1" applyFill="1" applyBorder="1" applyAlignment="1">
      <alignment horizontal="center"/>
    </xf>
    <xf numFmtId="175" fontId="41" fillId="19" borderId="5" xfId="10" applyNumberFormat="1" applyFont="1" applyFill="1" applyBorder="1" applyAlignment="1">
      <alignment horizontal="center"/>
    </xf>
    <xf numFmtId="184" fontId="41" fillId="19" borderId="5" xfId="2" applyNumberFormat="1" applyFont="1" applyFill="1" applyBorder="1" applyAlignment="1">
      <alignment horizontal="center"/>
    </xf>
    <xf numFmtId="171" fontId="41" fillId="19" borderId="5" xfId="2" applyFont="1" applyFill="1" applyBorder="1" applyAlignment="1">
      <alignment horizontal="center"/>
    </xf>
    <xf numFmtId="0" fontId="41" fillId="19" borderId="5" xfId="10" applyFont="1" applyFill="1" applyBorder="1" applyAlignment="1">
      <alignment horizontal="center"/>
    </xf>
    <xf numFmtId="0" fontId="41" fillId="19" borderId="5" xfId="10" applyFont="1" applyFill="1" applyBorder="1" applyAlignment="1">
      <alignment horizontal="center" vertical="center"/>
    </xf>
    <xf numFmtId="0" fontId="42" fillId="19" borderId="75" xfId="10" applyFont="1" applyFill="1" applyBorder="1" applyAlignment="1">
      <alignment horizontal="center"/>
    </xf>
    <xf numFmtId="0" fontId="42" fillId="19" borderId="39" xfId="10" applyFont="1" applyFill="1" applyBorder="1" applyAlignment="1">
      <alignment horizontal="center"/>
    </xf>
    <xf numFmtId="175" fontId="42" fillId="19" borderId="40" xfId="10" applyNumberFormat="1" applyFont="1" applyFill="1" applyBorder="1" applyAlignment="1">
      <alignment horizontal="center"/>
    </xf>
    <xf numFmtId="175" fontId="41" fillId="19" borderId="40" xfId="10" applyNumberFormat="1" applyFont="1" applyFill="1" applyBorder="1" applyAlignment="1">
      <alignment horizontal="center"/>
    </xf>
    <xf numFmtId="171" fontId="41" fillId="19" borderId="40" xfId="2" applyFont="1" applyFill="1" applyBorder="1" applyAlignment="1">
      <alignment horizontal="center"/>
    </xf>
    <xf numFmtId="0" fontId="41" fillId="19" borderId="40" xfId="10" applyFont="1" applyFill="1" applyBorder="1" applyAlignment="1">
      <alignment horizontal="center"/>
    </xf>
    <xf numFmtId="0" fontId="41" fillId="19" borderId="40" xfId="10" applyFont="1" applyFill="1" applyBorder="1" applyAlignment="1">
      <alignment horizontal="center" vertical="center"/>
    </xf>
    <xf numFmtId="0" fontId="42" fillId="10" borderId="5" xfId="10" applyFont="1" applyFill="1" applyBorder="1" applyAlignment="1">
      <alignment horizontal="center"/>
    </xf>
    <xf numFmtId="175" fontId="42" fillId="10" borderId="5" xfId="10" applyNumberFormat="1" applyFont="1" applyFill="1" applyBorder="1" applyAlignment="1">
      <alignment horizontal="right"/>
    </xf>
    <xf numFmtId="171" fontId="42" fillId="10" borderId="5" xfId="2" applyFont="1" applyFill="1" applyBorder="1" applyAlignment="1">
      <alignment horizontal="center"/>
    </xf>
    <xf numFmtId="171" fontId="42" fillId="10" borderId="5" xfId="2" applyFont="1" applyFill="1" applyBorder="1"/>
    <xf numFmtId="171" fontId="42" fillId="10" borderId="5" xfId="2" applyFont="1" applyFill="1" applyBorder="1" applyAlignment="1">
      <alignment horizontal="right"/>
    </xf>
    <xf numFmtId="171" fontId="42" fillId="10" borderId="5" xfId="10" applyNumberFormat="1" applyFont="1" applyFill="1" applyBorder="1" applyAlignment="1">
      <alignment horizontal="center"/>
    </xf>
    <xf numFmtId="171" fontId="42" fillId="10" borderId="5" xfId="10" applyNumberFormat="1" applyFont="1" applyFill="1" applyBorder="1"/>
    <xf numFmtId="0" fontId="59" fillId="10" borderId="0" xfId="10" applyFont="1" applyFill="1" applyAlignment="1">
      <alignment horizontal="center"/>
    </xf>
    <xf numFmtId="0" fontId="42" fillId="10" borderId="0" xfId="10" applyFont="1" applyFill="1"/>
    <xf numFmtId="171" fontId="42" fillId="10" borderId="0" xfId="2" applyFont="1" applyFill="1"/>
    <xf numFmtId="0" fontId="41" fillId="0" borderId="5" xfId="10" applyFont="1" applyBorder="1" applyAlignment="1">
      <alignment horizontal="center"/>
    </xf>
    <xf numFmtId="175" fontId="41" fillId="0" borderId="5" xfId="10" applyNumberFormat="1" applyFont="1" applyBorder="1"/>
    <xf numFmtId="171" fontId="41" fillId="0" borderId="5" xfId="2" applyFont="1" applyFill="1" applyBorder="1" applyAlignment="1">
      <alignment horizontal="center"/>
    </xf>
    <xf numFmtId="171" fontId="42" fillId="0" borderId="0" xfId="10" applyNumberFormat="1" applyFont="1"/>
    <xf numFmtId="14" fontId="42" fillId="0" borderId="0" xfId="10" quotePrefix="1" applyNumberFormat="1" applyFont="1"/>
    <xf numFmtId="0" fontId="42" fillId="0" borderId="76" xfId="10" applyFont="1" applyBorder="1"/>
    <xf numFmtId="0" fontId="42" fillId="0" borderId="26" xfId="10" applyFont="1" applyBorder="1"/>
    <xf numFmtId="171" fontId="41" fillId="0" borderId="26" xfId="2" applyFont="1" applyBorder="1"/>
    <xf numFmtId="171" fontId="42" fillId="0" borderId="32" xfId="10" applyNumberFormat="1" applyFont="1" applyBorder="1"/>
    <xf numFmtId="171" fontId="41" fillId="0" borderId="0" xfId="10" applyNumberFormat="1" applyFont="1"/>
    <xf numFmtId="0" fontId="41" fillId="0" borderId="77" xfId="10" applyFont="1" applyBorder="1" applyAlignment="1">
      <alignment horizontal="center"/>
    </xf>
    <xf numFmtId="171" fontId="41" fillId="0" borderId="0" xfId="2" applyFont="1" applyBorder="1"/>
    <xf numFmtId="171" fontId="42" fillId="0" borderId="78" xfId="10" applyNumberFormat="1" applyFont="1" applyBorder="1"/>
    <xf numFmtId="14" fontId="42" fillId="0" borderId="0" xfId="10" applyNumberFormat="1" applyFont="1"/>
    <xf numFmtId="0" fontId="42" fillId="0" borderId="77" xfId="10" applyFont="1" applyBorder="1" applyAlignment="1">
      <alignment horizontal="center" vertical="top"/>
    </xf>
    <xf numFmtId="171" fontId="42" fillId="0" borderId="0" xfId="2" applyFont="1" applyBorder="1" applyAlignment="1">
      <alignment vertical="top"/>
    </xf>
    <xf numFmtId="0" fontId="42" fillId="0" borderId="78" xfId="10" applyFont="1" applyBorder="1"/>
    <xf numFmtId="0" fontId="42" fillId="0" borderId="0" xfId="10" applyFont="1" applyAlignment="1">
      <alignment vertical="top"/>
    </xf>
    <xf numFmtId="171" fontId="41" fillId="0" borderId="0" xfId="2" applyFont="1" applyBorder="1" applyAlignment="1">
      <alignment vertical="top"/>
    </xf>
    <xf numFmtId="0" fontId="42" fillId="0" borderId="77" xfId="10" applyFont="1" applyBorder="1"/>
    <xf numFmtId="0" fontId="42" fillId="0" borderId="79" xfId="10" applyFont="1" applyBorder="1"/>
    <xf numFmtId="0" fontId="42" fillId="0" borderId="3" xfId="10" applyFont="1" applyBorder="1"/>
    <xf numFmtId="0" fontId="42" fillId="0" borderId="3" xfId="10" applyFont="1" applyBorder="1" applyAlignment="1">
      <alignment vertical="top"/>
    </xf>
    <xf numFmtId="171" fontId="41" fillId="0" borderId="3" xfId="2" applyFont="1" applyBorder="1" applyAlignment="1">
      <alignment vertical="top"/>
    </xf>
    <xf numFmtId="171" fontId="42" fillId="0" borderId="80" xfId="10" applyNumberFormat="1" applyFont="1" applyBorder="1"/>
    <xf numFmtId="0" fontId="6" fillId="2" borderId="0" xfId="0" applyFont="1" applyFill="1" applyAlignment="1">
      <alignment horizontal="center" vertical="center"/>
    </xf>
    <xf numFmtId="15" fontId="56" fillId="0" borderId="5" xfId="7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171" fontId="7" fillId="11" borderId="2" xfId="1" applyFont="1" applyFill="1" applyBorder="1" applyAlignment="1" applyProtection="1">
      <alignment horizontal="center" vertical="center" wrapText="1"/>
    </xf>
    <xf numFmtId="43" fontId="13" fillId="2" borderId="0" xfId="0" applyNumberFormat="1" applyFont="1" applyFill="1"/>
    <xf numFmtId="184" fontId="47" fillId="11" borderId="5" xfId="2" applyNumberFormat="1" applyFont="1" applyFill="1" applyBorder="1" applyAlignment="1">
      <alignment vertical="center"/>
    </xf>
    <xf numFmtId="171" fontId="7" fillId="2" borderId="0" xfId="1" applyFont="1" applyFill="1" applyAlignment="1">
      <alignment horizontal="center"/>
    </xf>
    <xf numFmtId="43" fontId="7" fillId="2" borderId="0" xfId="0" applyNumberFormat="1" applyFont="1" applyFill="1" applyAlignment="1">
      <alignment horizontal="center"/>
    </xf>
    <xf numFmtId="171" fontId="6" fillId="11" borderId="11" xfId="2" applyFont="1" applyFill="1" applyBorder="1"/>
    <xf numFmtId="171" fontId="28" fillId="0" borderId="0" xfId="1" applyFont="1"/>
    <xf numFmtId="43" fontId="47" fillId="0" borderId="0" xfId="0" applyNumberFormat="1" applyFont="1"/>
    <xf numFmtId="171" fontId="47" fillId="11" borderId="0" xfId="1" applyFont="1" applyFill="1"/>
    <xf numFmtId="0" fontId="56" fillId="0" borderId="0" xfId="0" applyFont="1"/>
    <xf numFmtId="171" fontId="56" fillId="0" borderId="0" xfId="1" applyFont="1"/>
    <xf numFmtId="171" fontId="56" fillId="11" borderId="0" xfId="1" applyFont="1" applyFill="1"/>
    <xf numFmtId="0" fontId="5" fillId="0" borderId="0" xfId="0" applyFont="1" applyAlignment="1">
      <alignment horizontal="center"/>
    </xf>
    <xf numFmtId="0" fontId="5" fillId="0" borderId="0" xfId="0" applyFont="1" applyAlignment="1"/>
    <xf numFmtId="171" fontId="50" fillId="11" borderId="0" xfId="1" applyFont="1" applyFill="1"/>
    <xf numFmtId="0" fontId="56" fillId="0" borderId="5" xfId="0" applyFont="1" applyBorder="1"/>
    <xf numFmtId="171" fontId="56" fillId="0" borderId="5" xfId="1" applyFont="1" applyBorder="1"/>
    <xf numFmtId="171" fontId="56" fillId="11" borderId="5" xfId="1" applyFont="1" applyFill="1" applyBorder="1"/>
    <xf numFmtId="0" fontId="60" fillId="0" borderId="5" xfId="0" applyFont="1" applyBorder="1" applyAlignment="1"/>
    <xf numFmtId="0" fontId="60" fillId="0" borderId="5" xfId="0" applyFont="1" applyBorder="1" applyAlignment="1">
      <alignment horizontal="left"/>
    </xf>
    <xf numFmtId="0" fontId="60" fillId="0" borderId="5" xfId="0" applyFont="1" applyBorder="1" applyAlignment="1">
      <alignment horizontal="center"/>
    </xf>
    <xf numFmtId="0" fontId="60" fillId="0" borderId="5" xfId="0" applyFont="1" applyBorder="1"/>
    <xf numFmtId="171" fontId="60" fillId="0" borderId="5" xfId="1" applyFont="1" applyBorder="1"/>
    <xf numFmtId="171" fontId="6" fillId="11" borderId="8" xfId="2" applyFont="1" applyFill="1" applyBorder="1"/>
    <xf numFmtId="0" fontId="61" fillId="0" borderId="0" xfId="0" applyFont="1" applyAlignment="1">
      <alignment horizontal="center"/>
    </xf>
    <xf numFmtId="171" fontId="36" fillId="11" borderId="0" xfId="1" applyFont="1" applyFill="1"/>
    <xf numFmtId="171" fontId="36" fillId="0" borderId="0" xfId="1" applyFont="1"/>
    <xf numFmtId="171" fontId="7" fillId="10" borderId="8" xfId="2" applyFont="1" applyFill="1" applyBorder="1"/>
    <xf numFmtId="0" fontId="6" fillId="8" borderId="81" xfId="2" applyNumberFormat="1" applyFont="1" applyFill="1" applyBorder="1" applyAlignment="1">
      <alignment horizontal="center" vertical="center" wrapText="1"/>
    </xf>
    <xf numFmtId="171" fontId="23" fillId="0" borderId="0" xfId="0" applyNumberFormat="1" applyFont="1" applyFill="1" applyAlignment="1">
      <alignment horizontal="center" vertical="center"/>
    </xf>
    <xf numFmtId="0" fontId="23" fillId="20" borderId="0" xfId="0" applyFont="1" applyFill="1" applyAlignment="1">
      <alignment horizontal="center" vertical="center"/>
    </xf>
    <xf numFmtId="39" fontId="6" fillId="4" borderId="22" xfId="0" applyNumberFormat="1" applyFont="1" applyFill="1" applyBorder="1"/>
    <xf numFmtId="0" fontId="42" fillId="0" borderId="74" xfId="0" applyFont="1" applyBorder="1"/>
    <xf numFmtId="171" fontId="49" fillId="11" borderId="82" xfId="1" applyFont="1" applyFill="1" applyBorder="1"/>
    <xf numFmtId="171" fontId="49" fillId="11" borderId="82" xfId="2" applyFont="1" applyFill="1" applyBorder="1"/>
    <xf numFmtId="171" fontId="49" fillId="11" borderId="34" xfId="2" applyFont="1" applyFill="1" applyBorder="1"/>
    <xf numFmtId="171" fontId="49" fillId="0" borderId="83" xfId="2" applyFont="1" applyBorder="1" applyAlignment="1">
      <alignment vertical="center"/>
    </xf>
    <xf numFmtId="0" fontId="41" fillId="10" borderId="84" xfId="0" applyFont="1" applyFill="1" applyBorder="1" applyAlignment="1">
      <alignment horizontal="center"/>
    </xf>
    <xf numFmtId="0" fontId="41" fillId="10" borderId="85" xfId="0" applyFont="1" applyFill="1" applyBorder="1" applyAlignment="1">
      <alignment horizontal="center"/>
    </xf>
    <xf numFmtId="0" fontId="41" fillId="10" borderId="86" xfId="0" applyFont="1" applyFill="1" applyBorder="1" applyAlignment="1">
      <alignment horizontal="center"/>
    </xf>
    <xf numFmtId="0" fontId="41" fillId="10" borderId="68" xfId="0" applyFont="1" applyFill="1" applyBorder="1" applyAlignment="1">
      <alignment horizontal="center"/>
    </xf>
    <xf numFmtId="0" fontId="42" fillId="10" borderId="87" xfId="0" applyFont="1" applyFill="1" applyBorder="1" applyAlignment="1">
      <alignment horizontal="center"/>
    </xf>
    <xf numFmtId="43" fontId="47" fillId="11" borderId="0" xfId="0" applyNumberFormat="1" applyFont="1" applyFill="1"/>
    <xf numFmtId="184" fontId="7" fillId="2" borderId="0" xfId="1" applyNumberFormat="1" applyFont="1" applyFill="1" applyAlignment="1">
      <alignment horizontal="right"/>
    </xf>
    <xf numFmtId="10" fontId="7" fillId="2" borderId="0" xfId="1" applyNumberFormat="1" applyFont="1" applyFill="1" applyAlignment="1">
      <alignment horizontal="right"/>
    </xf>
    <xf numFmtId="43" fontId="33" fillId="0" borderId="0" xfId="0" applyNumberFormat="1" applyFont="1"/>
    <xf numFmtId="14" fontId="7" fillId="2" borderId="0" xfId="0" applyNumberFormat="1" applyFont="1" applyFill="1" applyAlignment="1">
      <alignment horizontal="center"/>
    </xf>
    <xf numFmtId="184" fontId="7" fillId="2" borderId="0" xfId="1" applyNumberFormat="1" applyFont="1" applyFill="1" applyAlignment="1">
      <alignment horizontal="center"/>
    </xf>
    <xf numFmtId="10" fontId="7" fillId="2" borderId="0" xfId="1" applyNumberFormat="1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171" fontId="7" fillId="2" borderId="0" xfId="0" applyNumberFormat="1" applyFont="1" applyFill="1" applyAlignment="1">
      <alignment horizontal="center"/>
    </xf>
    <xf numFmtId="10" fontId="7" fillId="2" borderId="0" xfId="0" applyNumberFormat="1" applyFont="1" applyFill="1" applyAlignment="1">
      <alignment horizontal="center"/>
    </xf>
    <xf numFmtId="171" fontId="7" fillId="0" borderId="5" xfId="1" applyFont="1" applyBorder="1" applyAlignment="1">
      <alignment horizontal="right" vertical="center" wrapText="1"/>
    </xf>
    <xf numFmtId="171" fontId="7" fillId="11" borderId="1" xfId="2" applyFont="1" applyFill="1" applyBorder="1" applyAlignment="1"/>
    <xf numFmtId="171" fontId="6" fillId="11" borderId="1" xfId="2" applyFont="1" applyFill="1" applyBorder="1" applyAlignment="1"/>
    <xf numFmtId="0" fontId="8" fillId="11" borderId="3" xfId="0" applyFont="1" applyFill="1" applyBorder="1" applyAlignment="1">
      <alignment horizontal="left"/>
    </xf>
    <xf numFmtId="0" fontId="6" fillId="4" borderId="81" xfId="0" applyFont="1" applyFill="1" applyBorder="1" applyAlignment="1">
      <alignment horizontal="center" vertical="center" wrapText="1"/>
    </xf>
    <xf numFmtId="171" fontId="7" fillId="2" borderId="1" xfId="1" applyFont="1" applyFill="1" applyBorder="1" applyAlignment="1">
      <alignment horizontal="center"/>
    </xf>
    <xf numFmtId="0" fontId="11" fillId="15" borderId="20" xfId="0" applyFont="1" applyFill="1" applyBorder="1" applyAlignment="1">
      <alignment horizontal="center" vertical="center" wrapText="1"/>
    </xf>
    <xf numFmtId="10" fontId="6" fillId="15" borderId="5" xfId="12" applyNumberFormat="1" applyFont="1" applyFill="1" applyBorder="1" applyAlignment="1">
      <alignment horizontal="center" vertical="center"/>
    </xf>
    <xf numFmtId="44" fontId="41" fillId="10" borderId="44" xfId="0" applyNumberFormat="1" applyFont="1" applyFill="1" applyBorder="1" applyAlignment="1">
      <alignment horizontal="center" vertical="top"/>
    </xf>
    <xf numFmtId="198" fontId="42" fillId="11" borderId="44" xfId="1" applyNumberFormat="1" applyFont="1" applyFill="1" applyBorder="1" applyAlignment="1">
      <alignment vertical="top"/>
    </xf>
    <xf numFmtId="175" fontId="7" fillId="2" borderId="1" xfId="0" applyNumberFormat="1" applyFont="1" applyFill="1" applyBorder="1" applyAlignment="1">
      <alignment horizontal="center"/>
    </xf>
    <xf numFmtId="1" fontId="6" fillId="4" borderId="81" xfId="0" applyNumberFormat="1" applyFont="1" applyFill="1" applyBorder="1" applyAlignment="1">
      <alignment horizontal="center" vertical="center" wrapText="1"/>
    </xf>
    <xf numFmtId="171" fontId="43" fillId="11" borderId="2" xfId="1" applyFont="1" applyFill="1" applyBorder="1" applyAlignment="1" applyProtection="1">
      <alignment horizontal="center" vertical="center" wrapText="1"/>
    </xf>
    <xf numFmtId="171" fontId="43" fillId="11" borderId="2" xfId="1" applyFont="1" applyFill="1" applyBorder="1" applyAlignment="1" applyProtection="1">
      <alignment horizontal="center" vertical="center"/>
    </xf>
    <xf numFmtId="171" fontId="44" fillId="11" borderId="2" xfId="1" applyFont="1" applyFill="1" applyBorder="1" applyAlignment="1" applyProtection="1">
      <alignment horizontal="center" vertical="center"/>
    </xf>
    <xf numFmtId="172" fontId="7" fillId="0" borderId="6" xfId="0" applyNumberFormat="1" applyFont="1" applyBorder="1" applyAlignment="1">
      <alignment horizontal="center"/>
    </xf>
    <xf numFmtId="172" fontId="7" fillId="0" borderId="22" xfId="0" applyNumberFormat="1" applyFont="1" applyBorder="1" applyAlignment="1">
      <alignment horizontal="center"/>
    </xf>
    <xf numFmtId="172" fontId="6" fillId="0" borderId="67" xfId="0" applyNumberFormat="1" applyFont="1" applyBorder="1" applyAlignment="1">
      <alignment horizontal="center" vertical="center"/>
    </xf>
    <xf numFmtId="172" fontId="6" fillId="0" borderId="68" xfId="0" applyNumberFormat="1" applyFont="1" applyBorder="1" applyAlignment="1">
      <alignment horizontal="center" vertical="center"/>
    </xf>
    <xf numFmtId="172" fontId="6" fillId="0" borderId="87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7" fillId="2" borderId="23" xfId="0" applyFont="1" applyFill="1" applyBorder="1" applyAlignment="1">
      <alignment horizontal="left"/>
    </xf>
    <xf numFmtId="0" fontId="41" fillId="0" borderId="88" xfId="0" applyFont="1" applyBorder="1" applyAlignment="1">
      <alignment horizontal="center"/>
    </xf>
    <xf numFmtId="0" fontId="41" fillId="0" borderId="89" xfId="0" applyFont="1" applyBorder="1" applyAlignment="1">
      <alignment horizontal="center"/>
    </xf>
    <xf numFmtId="15" fontId="41" fillId="0" borderId="88" xfId="0" applyNumberFormat="1" applyFont="1" applyBorder="1" applyAlignment="1">
      <alignment horizontal="center"/>
    </xf>
    <xf numFmtId="15" fontId="41" fillId="0" borderId="89" xfId="0" applyNumberFormat="1" applyFont="1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15" fontId="35" fillId="11" borderId="4" xfId="7" applyNumberFormat="1" applyFont="1" applyFill="1" applyBorder="1" applyAlignment="1">
      <alignment horizontal="center" vertical="center"/>
    </xf>
    <xf numFmtId="15" fontId="35" fillId="11" borderId="12" xfId="7" applyNumberFormat="1" applyFont="1" applyFill="1" applyBorder="1" applyAlignment="1">
      <alignment horizontal="center" vertical="center"/>
    </xf>
    <xf numFmtId="15" fontId="35" fillId="11" borderId="11" xfId="7" applyNumberFormat="1" applyFont="1" applyFill="1" applyBorder="1" applyAlignment="1">
      <alignment horizontal="center" vertical="center"/>
    </xf>
    <xf numFmtId="0" fontId="41" fillId="0" borderId="5" xfId="7" applyFont="1" applyFill="1" applyBorder="1" applyAlignment="1">
      <alignment horizontal="center" vertical="center" wrapText="1"/>
    </xf>
    <xf numFmtId="188" fontId="63" fillId="0" borderId="5" xfId="7" applyNumberFormat="1" applyFont="1" applyFill="1" applyBorder="1" applyAlignment="1">
      <alignment horizontal="left"/>
    </xf>
    <xf numFmtId="0" fontId="64" fillId="0" borderId="5" xfId="7" applyFont="1" applyFill="1" applyBorder="1" applyAlignment="1">
      <alignment horizontal="center" vertical="center" wrapText="1"/>
    </xf>
    <xf numFmtId="0" fontId="5" fillId="0" borderId="5" xfId="7" applyFill="1" applyBorder="1" applyAlignment="1">
      <alignment horizontal="center"/>
    </xf>
    <xf numFmtId="0" fontId="41" fillId="0" borderId="5" xfId="7" applyFont="1" applyFill="1" applyBorder="1" applyAlignment="1">
      <alignment horizontal="center"/>
    </xf>
    <xf numFmtId="0" fontId="52" fillId="0" borderId="5" xfId="7" applyFont="1" applyFill="1" applyBorder="1" applyAlignment="1">
      <alignment wrapText="1"/>
    </xf>
    <xf numFmtId="0" fontId="41" fillId="0" borderId="5" xfId="7" applyFont="1" applyFill="1" applyBorder="1" applyAlignment="1">
      <alignment horizontal="center" vertical="center"/>
    </xf>
    <xf numFmtId="0" fontId="51" fillId="0" borderId="5" xfId="7" applyFont="1" applyFill="1" applyBorder="1" applyAlignment="1">
      <alignment horizontal="left" vertical="center"/>
    </xf>
    <xf numFmtId="184" fontId="35" fillId="0" borderId="5" xfId="2" applyNumberFormat="1" applyFont="1" applyFill="1" applyBorder="1" applyAlignment="1">
      <alignment horizontal="center" vertical="center"/>
    </xf>
    <xf numFmtId="0" fontId="62" fillId="0" borderId="5" xfId="7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77" xfId="0" applyBorder="1" applyAlignment="1">
      <alignment horizontal="center"/>
    </xf>
    <xf numFmtId="43" fontId="47" fillId="0" borderId="92" xfId="0" applyNumberFormat="1" applyFont="1" applyBorder="1" applyAlignment="1">
      <alignment horizontal="center"/>
    </xf>
    <xf numFmtId="171" fontId="42" fillId="0" borderId="79" xfId="2" applyFont="1" applyBorder="1" applyAlignment="1">
      <alignment horizontal="center"/>
    </xf>
    <xf numFmtId="171" fontId="42" fillId="0" borderId="3" xfId="2" applyFont="1" applyBorder="1" applyAlignment="1">
      <alignment horizontal="center"/>
    </xf>
    <xf numFmtId="171" fontId="42" fillId="0" borderId="80" xfId="2" applyFont="1" applyBorder="1" applyAlignment="1">
      <alignment horizontal="center"/>
    </xf>
    <xf numFmtId="0" fontId="42" fillId="0" borderId="77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7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87" xfId="0" applyBorder="1" applyAlignment="1">
      <alignment horizontal="center"/>
    </xf>
    <xf numFmtId="0" fontId="41" fillId="0" borderId="67" xfId="0" applyFont="1" applyBorder="1" applyAlignment="1">
      <alignment horizontal="center"/>
    </xf>
    <xf numFmtId="0" fontId="41" fillId="0" borderId="68" xfId="0" applyFont="1" applyBorder="1" applyAlignment="1">
      <alignment horizontal="center"/>
    </xf>
    <xf numFmtId="0" fontId="41" fillId="0" borderId="87" xfId="0" applyFont="1" applyBorder="1" applyAlignment="1">
      <alignment horizontal="center"/>
    </xf>
    <xf numFmtId="15" fontId="41" fillId="0" borderId="67" xfId="0" applyNumberFormat="1" applyFont="1" applyBorder="1" applyAlignment="1">
      <alignment horizontal="center"/>
    </xf>
    <xf numFmtId="15" fontId="41" fillId="0" borderId="68" xfId="0" applyNumberFormat="1" applyFont="1" applyBorder="1" applyAlignment="1">
      <alignment horizontal="center"/>
    </xf>
    <xf numFmtId="0" fontId="61" fillId="0" borderId="67" xfId="0" applyFont="1" applyFill="1" applyBorder="1" applyAlignment="1">
      <alignment horizontal="center"/>
    </xf>
    <xf numFmtId="0" fontId="61" fillId="0" borderId="68" xfId="0" applyFont="1" applyFill="1" applyBorder="1" applyAlignment="1">
      <alignment horizontal="center"/>
    </xf>
    <xf numFmtId="0" fontId="61" fillId="0" borderId="87" xfId="0" applyFont="1" applyFill="1" applyBorder="1" applyAlignment="1">
      <alignment horizontal="center"/>
    </xf>
    <xf numFmtId="0" fontId="0" fillId="0" borderId="76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60" fillId="0" borderId="5" xfId="0" applyFont="1" applyBorder="1" applyAlignment="1">
      <alignment horizontal="center"/>
    </xf>
    <xf numFmtId="171" fontId="56" fillId="0" borderId="4" xfId="1" applyFont="1" applyBorder="1" applyAlignment="1">
      <alignment horizontal="center"/>
    </xf>
    <xf numFmtId="171" fontId="56" fillId="0" borderId="11" xfId="1" applyFont="1" applyBorder="1" applyAlignment="1">
      <alignment horizontal="center"/>
    </xf>
    <xf numFmtId="0" fontId="6" fillId="6" borderId="3" xfId="0" applyFont="1" applyFill="1" applyBorder="1" applyAlignment="1">
      <alignment horizontal="left"/>
    </xf>
    <xf numFmtId="0" fontId="7" fillId="2" borderId="93" xfId="0" applyFont="1" applyFill="1" applyBorder="1" applyAlignment="1">
      <alignment horizontal="center"/>
    </xf>
    <xf numFmtId="0" fontId="6" fillId="8" borderId="35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27" fillId="2" borderId="12" xfId="0" applyFont="1" applyFill="1" applyBorder="1" applyAlignment="1">
      <alignment horizontal="left"/>
    </xf>
    <xf numFmtId="0" fontId="9" fillId="2" borderId="12" xfId="2" applyNumberFormat="1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11" borderId="3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6" fillId="21" borderId="81" xfId="0" applyFont="1" applyFill="1" applyBorder="1" applyAlignment="1">
      <alignment horizontal="center" vertical="center" wrapText="1"/>
    </xf>
    <xf numFmtId="0" fontId="26" fillId="21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11" borderId="15" xfId="0" applyFont="1" applyFill="1" applyBorder="1" applyAlignment="1">
      <alignment horizontal="center"/>
    </xf>
    <xf numFmtId="0" fontId="7" fillId="11" borderId="0" xfId="0" applyFont="1" applyFill="1" applyAlignment="1">
      <alignment horizontal="center"/>
    </xf>
    <xf numFmtId="174" fontId="7" fillId="2" borderId="26" xfId="0" applyNumberFormat="1" applyFont="1" applyFill="1" applyBorder="1" applyAlignment="1">
      <alignment horizontal="center"/>
    </xf>
    <xf numFmtId="0" fontId="6" fillId="2" borderId="35" xfId="0" applyFont="1" applyFill="1" applyBorder="1" applyAlignment="1">
      <alignment horizontal="left"/>
    </xf>
    <xf numFmtId="171" fontId="6" fillId="8" borderId="4" xfId="2" applyFont="1" applyFill="1" applyBorder="1"/>
    <xf numFmtId="171" fontId="6" fillId="8" borderId="12" xfId="2" applyFont="1" applyFill="1" applyBorder="1"/>
    <xf numFmtId="171" fontId="6" fillId="8" borderId="11" xfId="2" applyFont="1" applyFill="1" applyBorder="1"/>
    <xf numFmtId="0" fontId="29" fillId="2" borderId="12" xfId="0" applyFont="1" applyFill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7" fillId="11" borderId="0" xfId="0" applyFont="1" applyFill="1" applyBorder="1" applyAlignment="1">
      <alignment horizontal="center"/>
    </xf>
    <xf numFmtId="0" fontId="26" fillId="8" borderId="8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4" borderId="61" xfId="0" applyFont="1" applyFill="1" applyBorder="1" applyAlignment="1">
      <alignment horizontal="center" vertical="center"/>
    </xf>
    <xf numFmtId="0" fontId="26" fillId="15" borderId="81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left"/>
    </xf>
    <xf numFmtId="171" fontId="6" fillId="8" borderId="94" xfId="2" applyFont="1" applyFill="1" applyBorder="1"/>
    <xf numFmtId="171" fontId="6" fillId="8" borderId="95" xfId="2" applyFont="1" applyFill="1" applyBorder="1"/>
    <xf numFmtId="171" fontId="6" fillId="8" borderId="96" xfId="2" applyFont="1" applyFill="1" applyBorder="1"/>
    <xf numFmtId="0" fontId="6" fillId="4" borderId="97" xfId="0" applyFont="1" applyFill="1" applyBorder="1" applyAlignment="1">
      <alignment horizontal="center" vertical="center"/>
    </xf>
    <xf numFmtId="0" fontId="6" fillId="4" borderId="98" xfId="0" applyFont="1" applyFill="1" applyBorder="1" applyAlignment="1">
      <alignment horizontal="center" vertical="center"/>
    </xf>
    <xf numFmtId="171" fontId="6" fillId="8" borderId="99" xfId="2" applyFont="1" applyFill="1" applyBorder="1" applyAlignment="1">
      <alignment horizontal="center"/>
    </xf>
    <xf numFmtId="171" fontId="6" fillId="8" borderId="15" xfId="2" applyFont="1" applyFill="1" applyBorder="1" applyAlignment="1">
      <alignment horizontal="center"/>
    </xf>
    <xf numFmtId="171" fontId="6" fillId="8" borderId="19" xfId="2" applyFont="1" applyFill="1" applyBorder="1" applyAlignment="1">
      <alignment horizontal="center"/>
    </xf>
    <xf numFmtId="0" fontId="6" fillId="4" borderId="55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172" fontId="7" fillId="0" borderId="6" xfId="0" applyNumberFormat="1" applyFont="1" applyBorder="1" applyAlignment="1" applyProtection="1">
      <alignment horizontal="center"/>
    </xf>
    <xf numFmtId="172" fontId="7" fillId="0" borderId="22" xfId="0" applyNumberFormat="1" applyFont="1" applyBorder="1" applyAlignment="1" applyProtection="1">
      <alignment horizontal="center"/>
    </xf>
    <xf numFmtId="172" fontId="12" fillId="0" borderId="6" xfId="0" applyNumberFormat="1" applyFont="1" applyBorder="1" applyAlignment="1" applyProtection="1">
      <alignment horizontal="center"/>
    </xf>
    <xf numFmtId="172" fontId="12" fillId="0" borderId="22" xfId="0" applyNumberFormat="1" applyFont="1" applyBorder="1" applyAlignment="1" applyProtection="1">
      <alignment horizontal="center"/>
    </xf>
    <xf numFmtId="172" fontId="6" fillId="0" borderId="67" xfId="0" applyNumberFormat="1" applyFont="1" applyFill="1" applyBorder="1" applyAlignment="1" applyProtection="1">
      <alignment horizontal="center" vertical="center"/>
    </xf>
    <xf numFmtId="172" fontId="6" fillId="0" borderId="68" xfId="0" applyNumberFormat="1" applyFont="1" applyFill="1" applyBorder="1" applyAlignment="1" applyProtection="1">
      <alignment horizontal="center" vertical="center"/>
    </xf>
    <xf numFmtId="172" fontId="6" fillId="0" borderId="87" xfId="0" applyNumberFormat="1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171" fontId="6" fillId="4" borderId="100" xfId="2" applyFont="1" applyFill="1" applyBorder="1" applyAlignment="1">
      <alignment horizontal="center" vertical="center" wrapText="1"/>
    </xf>
    <xf numFmtId="171" fontId="6" fillId="4" borderId="7" xfId="2" applyFont="1" applyFill="1" applyBorder="1" applyAlignment="1">
      <alignment horizontal="center" vertical="center" wrapText="1"/>
    </xf>
    <xf numFmtId="171" fontId="6" fillId="4" borderId="18" xfId="2" applyFont="1" applyFill="1" applyBorder="1" applyAlignment="1">
      <alignment horizontal="center" vertical="center" wrapText="1"/>
    </xf>
    <xf numFmtId="171" fontId="6" fillId="4" borderId="1" xfId="2" applyFont="1" applyFill="1" applyBorder="1" applyAlignment="1">
      <alignment horizontal="center" vertical="center" wrapText="1"/>
    </xf>
    <xf numFmtId="171" fontId="6" fillId="4" borderId="61" xfId="2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84" fontId="6" fillId="4" borderId="18" xfId="2" applyNumberFormat="1" applyFont="1" applyFill="1" applyBorder="1" applyAlignment="1">
      <alignment horizontal="center" vertical="center" wrapText="1"/>
    </xf>
    <xf numFmtId="184" fontId="6" fillId="4" borderId="1" xfId="2" applyNumberFormat="1" applyFont="1" applyFill="1" applyBorder="1" applyAlignment="1">
      <alignment horizontal="center" vertical="center" wrapText="1"/>
    </xf>
    <xf numFmtId="0" fontId="7" fillId="2" borderId="10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9" fillId="2" borderId="12" xfId="1" applyNumberFormat="1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9" borderId="8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171" fontId="6" fillId="4" borderId="18" xfId="1" applyFont="1" applyFill="1" applyBorder="1" applyAlignment="1">
      <alignment horizontal="center" vertical="center" wrapText="1"/>
    </xf>
    <xf numFmtId="171" fontId="6" fillId="4" borderId="1" xfId="1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2" xfId="0" applyFont="1" applyFill="1" applyBorder="1" applyAlignment="1">
      <alignment horizontal="center" vertical="center" wrapText="1"/>
    </xf>
    <xf numFmtId="0" fontId="6" fillId="4" borderId="103" xfId="0" applyFont="1" applyFill="1" applyBorder="1" applyAlignment="1">
      <alignment horizontal="center" vertical="center" wrapText="1"/>
    </xf>
  </cellXfs>
  <cellStyles count="13">
    <cellStyle name="Comma" xfId="1" builtinId="3"/>
    <cellStyle name="Comma 2" xfId="2" xr:uid="{A3B162DC-33BD-49D3-84AA-2B7F77D3818A}"/>
    <cellStyle name="Comma 3" xfId="3" xr:uid="{8D9BBCFE-8D7A-4888-ADF4-594E63EC691A}"/>
    <cellStyle name="Currency" xfId="4" builtinId="4"/>
    <cellStyle name="Currency 2" xfId="5" xr:uid="{7F78A69B-75F2-47FE-B96C-E229BFD344AF}"/>
    <cellStyle name="Hyperlink" xfId="6" builtinId="8"/>
    <cellStyle name="Normal" xfId="0" builtinId="0"/>
    <cellStyle name="Normal 2" xfId="7" xr:uid="{D367DE3A-04FA-4809-87EB-0438E56E74BF}"/>
    <cellStyle name="Normal 2 2" xfId="8" xr:uid="{27619646-DCF7-45B3-BB46-576647390AE9}"/>
    <cellStyle name="Normal 3" xfId="9" xr:uid="{D44E9872-44D6-4312-8299-6855AA3E0B0F}"/>
    <cellStyle name="Normal 4" xfId="10" xr:uid="{16E6F3C9-F27C-4E50-A62B-74AF762CD16B}"/>
    <cellStyle name="Percent" xfId="11" builtinId="5"/>
    <cellStyle name="Percent 2" xfId="12" xr:uid="{8B86A79C-2257-43E5-9597-30C71C8BB89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ank%20Balance/JUNE%202026%20NCCL.xlsx" TargetMode="External"/><Relationship Id="rId1" Type="http://schemas.openxmlformats.org/officeDocument/2006/relationships/externalLinkPath" Target="/2025-2026/Nimir%20Chemcoat%20Limited/Bank%20Balance/JUNE%202026%20NCC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ank%20Balance/2026-2027/APRIL%202026%20NCCL.xlsx" TargetMode="External"/><Relationship Id="rId1" Type="http://schemas.openxmlformats.org/officeDocument/2006/relationships/externalLinkPath" Target="/2025-2026/Nimir%20Chemcoat%20Limited/Bank%20Balance/2026-2027/APRIL%202026%20NCC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-2026/NCCL%20Financial%20Cost%20As%20of%2030.06.2026%20XLS.xls" TargetMode="External"/><Relationship Id="rId1" Type="http://schemas.openxmlformats.org/officeDocument/2006/relationships/externalLinkPath" Target="/2025-2026/Nimir%20Chemcoat%20Limited/Financial%20Cost/2025-2026/NCCL%20Financial%20Cost%20As%20of%2030.06.2026%20XL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ank%20Balance/2026-2027/JULY%202026%20NCCL.xlsx" TargetMode="External"/><Relationship Id="rId1" Type="http://schemas.openxmlformats.org/officeDocument/2006/relationships/externalLinkPath" Target="/2025-2026/Nimir%20Chemcoat%20Limited/Bank%20Balance/2026-2027/JULY%202026%20NCC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 June"/>
      <sheetName val="02 June"/>
      <sheetName val="03 June"/>
      <sheetName val="04 June"/>
      <sheetName val="05 June"/>
      <sheetName val="08 June"/>
      <sheetName val="09 June"/>
      <sheetName val="10 June"/>
      <sheetName val="11 June"/>
      <sheetName val="12 June"/>
      <sheetName val="15 June"/>
      <sheetName val="16 June"/>
      <sheetName val="17 June"/>
      <sheetName val="18 June"/>
      <sheetName val="19 June"/>
      <sheetName val="20 June"/>
      <sheetName val="22 June"/>
      <sheetName val="23 June"/>
      <sheetName val="24 June"/>
      <sheetName val="29 June"/>
      <sheetName val="30 June"/>
      <sheetName val="02 July"/>
      <sheetName val="03 July"/>
      <sheetName val="06 Ju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-249703392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2 July"/>
      <sheetName val="03 July"/>
      <sheetName val="06 July"/>
      <sheetName val="07 July"/>
      <sheetName val="08 July"/>
    </sheetNames>
    <sheetDataSet>
      <sheetData sheetId="0" refreshError="1">
        <row r="10">
          <cell r="H10">
            <v>207835.6099999994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OUCHER "/>
      <sheetName val="USANCE LC SHEET (2025)"/>
      <sheetName val="FINANCIAL COST SUMMARY "/>
      <sheetName val="FINANCIAL SUMMARY"/>
      <sheetName val="INFLOW-OUTFLOW SUMMARY"/>
      <sheetName val="BORROWING SUMMARY "/>
      <sheetName val="Sheet1"/>
      <sheetName val="MCB-RF "/>
      <sheetName val="MCB-FATR "/>
      <sheetName val="SONERI-RF "/>
      <sheetName val="SONERI-FATR"/>
      <sheetName val="BOP - RF"/>
      <sheetName val="BOP - FATR"/>
      <sheetName val="BIPL-FATR"/>
      <sheetName val="BIPL-RF"/>
      <sheetName val="MBL-Musawammah"/>
      <sheetName val="NBP-ISLAMIC"/>
      <sheetName val="FBL-ISTISNA"/>
      <sheetName val="FBL-ISTISNA 2 "/>
      <sheetName val="PBICL"/>
      <sheetName val="PBICL (RPS)"/>
      <sheetName val="STATUS 1"/>
      <sheetName val="STATUS"/>
      <sheetName val="VOUCHER"/>
      <sheetName val="ALFALAH-FE25"/>
      <sheetName val="BOP-FATR"/>
      <sheetName val="BOP-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6">
          <cell r="J46">
            <v>183194.71393341635</v>
          </cell>
        </row>
      </sheetData>
      <sheetData sheetId="8"/>
      <sheetData sheetId="9">
        <row r="46">
          <cell r="J46">
            <v>406114.96916672867</v>
          </cell>
        </row>
      </sheetData>
      <sheetData sheetId="10"/>
      <sheetData sheetId="11">
        <row r="46">
          <cell r="J46">
            <v>541041.30690123839</v>
          </cell>
        </row>
      </sheetData>
      <sheetData sheetId="12"/>
      <sheetData sheetId="13"/>
      <sheetData sheetId="14"/>
      <sheetData sheetId="15"/>
      <sheetData sheetId="16">
        <row r="46">
          <cell r="J46">
            <v>902473.23718136991</v>
          </cell>
        </row>
      </sheetData>
      <sheetData sheetId="17">
        <row r="85">
          <cell r="B85">
            <v>3080082.191780821</v>
          </cell>
        </row>
      </sheetData>
      <sheetData sheetId="18"/>
      <sheetData sheetId="19">
        <row r="46">
          <cell r="H46">
            <v>1752280.0657906849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1 July"/>
      <sheetName val="02 July"/>
      <sheetName val="03 July"/>
      <sheetName val="06 July"/>
      <sheetName val="07 July"/>
      <sheetName val="08 July"/>
      <sheetName val="09 July"/>
      <sheetName val="10 July"/>
    </sheetNames>
    <sheetDataSet>
      <sheetData sheetId="0">
        <row r="12">
          <cell r="H12">
            <v>-45359653.409999982</v>
          </cell>
        </row>
        <row r="13">
          <cell r="H13">
            <v>-48999999.999999993</v>
          </cell>
        </row>
        <row r="15">
          <cell r="H15">
            <v>-99444293.859999999</v>
          </cell>
        </row>
      </sheetData>
      <sheetData sheetId="1">
        <row r="11">
          <cell r="H11">
            <v>-249703392</v>
          </cell>
        </row>
        <row r="12">
          <cell r="H12">
            <v>-359688.20999997854</v>
          </cell>
        </row>
        <row r="13">
          <cell r="H13">
            <v>-75398.999999992549</v>
          </cell>
        </row>
        <row r="15">
          <cell r="H15">
            <v>-1944293.8599999994</v>
          </cell>
        </row>
      </sheetData>
      <sheetData sheetId="2">
        <row r="11">
          <cell r="H11">
            <v>-159703392</v>
          </cell>
        </row>
        <row r="12">
          <cell r="H12">
            <v>-359723.00999997853</v>
          </cell>
        </row>
        <row r="13">
          <cell r="H13">
            <v>-1397981</v>
          </cell>
        </row>
        <row r="15">
          <cell r="H15">
            <v>-1500715.8599999994</v>
          </cell>
        </row>
      </sheetData>
      <sheetData sheetId="3">
        <row r="11">
          <cell r="H11">
            <v>-159703392</v>
          </cell>
        </row>
        <row r="12">
          <cell r="H12">
            <v>-359757.80999997852</v>
          </cell>
        </row>
        <row r="13">
          <cell r="H13">
            <v>-521041</v>
          </cell>
        </row>
        <row r="15">
          <cell r="H15">
            <v>-2000715.8599999994</v>
          </cell>
        </row>
      </sheetData>
      <sheetData sheetId="4">
        <row r="11">
          <cell r="H11">
            <v>-217703392</v>
          </cell>
        </row>
        <row r="12">
          <cell r="H12">
            <v>-555139.66999997851</v>
          </cell>
        </row>
        <row r="13">
          <cell r="H13">
            <v>-41758870.489999995</v>
          </cell>
        </row>
        <row r="15">
          <cell r="H15">
            <v>-47000715.859999999</v>
          </cell>
        </row>
      </sheetData>
      <sheetData sheetId="5">
        <row r="11">
          <cell r="H11">
            <v>-217703392</v>
          </cell>
        </row>
        <row r="12">
          <cell r="H12">
            <v>-555174.46999997855</v>
          </cell>
        </row>
        <row r="13">
          <cell r="H13">
            <v>-31758870.489999995</v>
          </cell>
        </row>
        <row r="15">
          <cell r="H15">
            <v>-48869845.859999999</v>
          </cell>
        </row>
      </sheetData>
      <sheetData sheetId="6">
        <row r="7">
          <cell r="H7">
            <v>726900.20000000345</v>
          </cell>
        </row>
        <row r="8">
          <cell r="H8">
            <v>23968543.84</v>
          </cell>
        </row>
        <row r="11">
          <cell r="H11">
            <v>-217703392</v>
          </cell>
        </row>
        <row r="12">
          <cell r="H12">
            <v>-555209.2699999786</v>
          </cell>
        </row>
        <row r="13">
          <cell r="H13">
            <v>-29785336.489999995</v>
          </cell>
        </row>
        <row r="15">
          <cell r="H15">
            <v>-47715526.859999999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6D7F-22CE-48E9-B104-F731DF9089AD}">
  <sheetPr transitionEvaluation="1">
    <pageSetUpPr fitToPage="1"/>
  </sheetPr>
  <dimension ref="A1:F34"/>
  <sheetViews>
    <sheetView showGridLines="0" defaultGridColor="0" colorId="22" zoomScale="90" workbookViewId="0">
      <selection activeCell="E25" sqref="E25"/>
    </sheetView>
  </sheetViews>
  <sheetFormatPr defaultColWidth="10.6328125" defaultRowHeight="13.8" x14ac:dyDescent="0.3"/>
  <cols>
    <col min="1" max="1" width="5.6328125" style="227" customWidth="1"/>
    <col min="2" max="2" width="4.90625" style="227" customWidth="1"/>
    <col min="3" max="3" width="26.81640625" style="227" customWidth="1"/>
    <col min="4" max="6" width="12" style="227" customWidth="1"/>
    <col min="7" max="7" width="5.6328125" style="227" customWidth="1"/>
    <col min="8" max="16384" width="10.6328125" style="227"/>
  </cols>
  <sheetData>
    <row r="1" spans="1:6" ht="18" x14ac:dyDescent="0.35">
      <c r="A1" s="273" t="s">
        <v>174</v>
      </c>
      <c r="B1" s="274"/>
      <c r="C1" s="274"/>
      <c r="D1" s="275"/>
      <c r="E1" s="274"/>
      <c r="F1" s="274"/>
    </row>
    <row r="2" spans="1:6" x14ac:dyDescent="0.3">
      <c r="A2" s="276"/>
      <c r="B2" s="277"/>
      <c r="C2" s="277"/>
      <c r="D2" s="277"/>
      <c r="E2" s="278" t="s">
        <v>14</v>
      </c>
      <c r="F2" s="279"/>
    </row>
    <row r="3" spans="1:6" x14ac:dyDescent="0.3">
      <c r="A3" s="280"/>
      <c r="B3" s="266"/>
      <c r="C3" s="266"/>
      <c r="D3" s="266"/>
      <c r="E3" s="281" t="s">
        <v>2</v>
      </c>
      <c r="F3" s="282"/>
    </row>
    <row r="4" spans="1:6" x14ac:dyDescent="0.3">
      <c r="A4" s="283"/>
      <c r="B4" s="284" t="s">
        <v>3</v>
      </c>
      <c r="C4" s="285"/>
      <c r="D4" s="285"/>
      <c r="E4" s="281" t="s">
        <v>17</v>
      </c>
      <c r="F4" s="279"/>
    </row>
    <row r="5" spans="1:6" x14ac:dyDescent="0.3">
      <c r="A5" s="280"/>
      <c r="B5" s="266"/>
      <c r="C5" s="266"/>
      <c r="D5" s="266"/>
      <c r="E5" s="281" t="s">
        <v>4</v>
      </c>
      <c r="F5" s="286" t="s">
        <v>340</v>
      </c>
    </row>
    <row r="6" spans="1:6" x14ac:dyDescent="0.3">
      <c r="A6" s="283"/>
      <c r="B6" s="287"/>
      <c r="C6" s="287"/>
      <c r="D6" s="287"/>
      <c r="E6" s="266"/>
      <c r="F6" s="288"/>
    </row>
    <row r="7" spans="1:6" x14ac:dyDescent="0.3">
      <c r="A7" s="289" t="s">
        <v>5</v>
      </c>
      <c r="B7" s="290" t="s">
        <v>6</v>
      </c>
      <c r="C7" s="291"/>
      <c r="D7" s="292" t="s">
        <v>15</v>
      </c>
      <c r="E7" s="293" t="s">
        <v>7</v>
      </c>
      <c r="F7" s="293" t="s">
        <v>8</v>
      </c>
    </row>
    <row r="8" spans="1:6" x14ac:dyDescent="0.3">
      <c r="A8" s="294" t="s">
        <v>9</v>
      </c>
      <c r="B8" s="295"/>
      <c r="C8" s="296"/>
      <c r="D8" s="297" t="s">
        <v>16</v>
      </c>
      <c r="E8" s="298" t="s">
        <v>10</v>
      </c>
      <c r="F8" s="298" t="s">
        <v>10</v>
      </c>
    </row>
    <row r="9" spans="1:6" x14ac:dyDescent="0.3">
      <c r="A9" s="300"/>
      <c r="B9" s="302"/>
      <c r="C9" s="302"/>
      <c r="D9" s="300"/>
      <c r="E9" s="301"/>
      <c r="F9" s="301"/>
    </row>
    <row r="10" spans="1:6" x14ac:dyDescent="0.3">
      <c r="A10" s="300">
        <v>1</v>
      </c>
      <c r="B10" s="727" t="s">
        <v>184</v>
      </c>
      <c r="C10" s="728"/>
      <c r="D10" s="300"/>
      <c r="E10" s="299">
        <f>'FINANCIAL COST SUMMARY '!F5</f>
        <v>0</v>
      </c>
      <c r="F10" s="301"/>
    </row>
    <row r="11" spans="1:6" x14ac:dyDescent="0.3">
      <c r="A11" s="300">
        <v>2</v>
      </c>
      <c r="B11" s="727" t="str">
        <f>B10</f>
        <v>MCB-FATR</v>
      </c>
      <c r="C11" s="728"/>
      <c r="D11" s="300"/>
      <c r="E11" s="301"/>
      <c r="F11" s="301">
        <f>E10</f>
        <v>0</v>
      </c>
    </row>
    <row r="12" spans="1:6" x14ac:dyDescent="0.3">
      <c r="A12" s="300"/>
      <c r="B12" s="303"/>
      <c r="C12" s="303"/>
      <c r="D12" s="300"/>
      <c r="E12" s="301"/>
      <c r="F12" s="301"/>
    </row>
    <row r="13" spans="1:6" x14ac:dyDescent="0.3">
      <c r="A13" s="300">
        <v>3</v>
      </c>
      <c r="B13" s="727" t="s">
        <v>185</v>
      </c>
      <c r="C13" s="728"/>
      <c r="D13" s="300"/>
      <c r="E13" s="299">
        <f>'FINANCIAL COST SUMMARY '!F6</f>
        <v>33942.217228345078</v>
      </c>
      <c r="F13" s="301"/>
    </row>
    <row r="14" spans="1:6" x14ac:dyDescent="0.3">
      <c r="A14" s="300">
        <v>4</v>
      </c>
      <c r="B14" s="727" t="str">
        <f>B13</f>
        <v>MCB-RF</v>
      </c>
      <c r="C14" s="728"/>
      <c r="D14" s="300"/>
      <c r="E14" s="301"/>
      <c r="F14" s="301">
        <f>E13</f>
        <v>33942.217228345078</v>
      </c>
    </row>
    <row r="15" spans="1:6" x14ac:dyDescent="0.3">
      <c r="A15" s="300"/>
      <c r="B15" s="302"/>
      <c r="C15" s="302"/>
      <c r="D15" s="300"/>
      <c r="E15" s="301"/>
      <c r="F15" s="301"/>
    </row>
    <row r="16" spans="1:6" x14ac:dyDescent="0.3">
      <c r="A16" s="300">
        <v>5</v>
      </c>
      <c r="B16" s="727" t="s">
        <v>172</v>
      </c>
      <c r="C16" s="728"/>
      <c r="D16" s="300"/>
      <c r="E16" s="299">
        <f>'FINANCIAL COST SUMMARY '!F7</f>
        <v>0</v>
      </c>
      <c r="F16" s="301"/>
    </row>
    <row r="17" spans="1:6" x14ac:dyDescent="0.3">
      <c r="A17" s="300">
        <v>6</v>
      </c>
      <c r="B17" s="727" t="str">
        <f>B16</f>
        <v>Soneri-FATR</v>
      </c>
      <c r="C17" s="728"/>
      <c r="D17" s="300"/>
      <c r="E17" s="301"/>
      <c r="F17" s="301">
        <f>E16</f>
        <v>0</v>
      </c>
    </row>
    <row r="18" spans="1:6" x14ac:dyDescent="0.3">
      <c r="A18" s="300"/>
      <c r="B18" s="303"/>
      <c r="C18" s="303"/>
      <c r="D18" s="300"/>
      <c r="E18" s="301"/>
      <c r="F18" s="301"/>
    </row>
    <row r="19" spans="1:6" x14ac:dyDescent="0.3">
      <c r="A19" s="300">
        <v>7</v>
      </c>
      <c r="B19" s="727" t="s">
        <v>173</v>
      </c>
      <c r="C19" s="728"/>
      <c r="D19" s="300"/>
      <c r="E19" s="299">
        <f>'FINANCIAL COST SUMMARY '!F8</f>
        <v>272517.95922176447</v>
      </c>
      <c r="F19" s="301"/>
    </row>
    <row r="20" spans="1:6" x14ac:dyDescent="0.3">
      <c r="A20" s="300">
        <v>8</v>
      </c>
      <c r="B20" s="727" t="str">
        <f>B19</f>
        <v>Soneri-RF</v>
      </c>
      <c r="C20" s="728"/>
      <c r="D20" s="300"/>
      <c r="E20" s="301"/>
      <c r="F20" s="301">
        <f>E19</f>
        <v>272517.95922176447</v>
      </c>
    </row>
    <row r="21" spans="1:6" x14ac:dyDescent="0.3">
      <c r="A21" s="300"/>
      <c r="B21" s="302"/>
      <c r="C21" s="302"/>
      <c r="D21" s="300"/>
      <c r="E21" s="301"/>
      <c r="F21" s="301"/>
    </row>
    <row r="22" spans="1:6" x14ac:dyDescent="0.3">
      <c r="A22" s="300">
        <v>9</v>
      </c>
      <c r="B22" s="727" t="s">
        <v>196</v>
      </c>
      <c r="C22" s="728"/>
      <c r="D22" s="300"/>
      <c r="E22" s="299">
        <f>'FINANCIAL COST SUMMARY '!E10</f>
        <v>0</v>
      </c>
      <c r="F22" s="301"/>
    </row>
    <row r="23" spans="1:6" x14ac:dyDescent="0.3">
      <c r="A23" s="300">
        <v>10</v>
      </c>
      <c r="B23" s="727" t="str">
        <f>B22</f>
        <v>BOP-FATR</v>
      </c>
      <c r="C23" s="728"/>
      <c r="D23" s="300"/>
      <c r="E23" s="301"/>
      <c r="F23" s="301">
        <f>E22</f>
        <v>0</v>
      </c>
    </row>
    <row r="24" spans="1:6" x14ac:dyDescent="0.3">
      <c r="A24" s="300"/>
      <c r="B24" s="303"/>
      <c r="C24" s="303"/>
      <c r="D24" s="300"/>
      <c r="E24" s="301"/>
      <c r="F24" s="301"/>
    </row>
    <row r="25" spans="1:6" x14ac:dyDescent="0.3">
      <c r="A25" s="300">
        <v>11</v>
      </c>
      <c r="B25" s="727" t="s">
        <v>197</v>
      </c>
      <c r="C25" s="728"/>
      <c r="D25" s="300"/>
      <c r="E25" s="299">
        <f>'FINANCIAL COST SUMMARY '!E9</f>
        <v>454171.53445789573</v>
      </c>
      <c r="F25" s="301"/>
    </row>
    <row r="26" spans="1:6" x14ac:dyDescent="0.3">
      <c r="A26" s="300">
        <v>12</v>
      </c>
      <c r="B26" s="727" t="str">
        <f>B25</f>
        <v>BOP-RF</v>
      </c>
      <c r="C26" s="728"/>
      <c r="D26" s="300"/>
      <c r="E26" s="301"/>
      <c r="F26" s="301">
        <f>E25</f>
        <v>454171.53445789573</v>
      </c>
    </row>
    <row r="27" spans="1:6" ht="14.4" thickBot="1" x14ac:dyDescent="0.35">
      <c r="A27" s="300"/>
      <c r="B27" s="304"/>
      <c r="C27" s="305"/>
      <c r="D27" s="300"/>
      <c r="E27" s="301"/>
      <c r="F27" s="301"/>
    </row>
    <row r="28" spans="1:6" ht="36" customHeight="1" thickBot="1" x14ac:dyDescent="0.35">
      <c r="A28" s="729" t="s">
        <v>341</v>
      </c>
      <c r="B28" s="730"/>
      <c r="C28" s="730"/>
      <c r="D28" s="731"/>
      <c r="E28" s="306">
        <f>SUM(E9:E27)</f>
        <v>760631.71090800525</v>
      </c>
      <c r="F28" s="306">
        <f>SUM(F9:F27)</f>
        <v>760631.71090800525</v>
      </c>
    </row>
    <row r="29" spans="1:6" x14ac:dyDescent="0.3">
      <c r="A29" s="274"/>
      <c r="B29" s="274"/>
      <c r="C29" s="274"/>
      <c r="D29" s="274"/>
      <c r="E29" s="274"/>
      <c r="F29" s="274"/>
    </row>
    <row r="30" spans="1:6" ht="15.6" x14ac:dyDescent="0.3">
      <c r="A30" s="307"/>
      <c r="B30" s="308"/>
      <c r="C30" s="308"/>
      <c r="D30" s="308"/>
      <c r="E30" s="308"/>
      <c r="F30" s="308"/>
    </row>
    <row r="31" spans="1:6" x14ac:dyDescent="0.3">
      <c r="A31" s="274"/>
      <c r="B31" s="274"/>
      <c r="C31" s="274"/>
      <c r="D31" s="274"/>
      <c r="E31" s="274"/>
      <c r="F31" s="274"/>
    </row>
    <row r="32" spans="1:6" x14ac:dyDescent="0.3">
      <c r="A32" s="274"/>
      <c r="B32" s="274"/>
      <c r="C32" s="274"/>
      <c r="D32" s="274"/>
      <c r="E32" s="274"/>
      <c r="F32" s="274"/>
    </row>
    <row r="33" spans="1:6" x14ac:dyDescent="0.3">
      <c r="A33" s="274"/>
      <c r="B33" s="274"/>
      <c r="C33" s="274"/>
      <c r="D33" s="274"/>
      <c r="E33" s="309"/>
      <c r="F33" s="274"/>
    </row>
    <row r="34" spans="1:6" ht="16.2" customHeight="1" x14ac:dyDescent="0.3">
      <c r="A34" s="274"/>
      <c r="B34" s="274"/>
      <c r="C34" s="274"/>
      <c r="D34" s="274"/>
      <c r="E34" s="309"/>
      <c r="F34" s="274"/>
    </row>
  </sheetData>
  <mergeCells count="13">
    <mergeCell ref="B23:C23"/>
    <mergeCell ref="B25:C25"/>
    <mergeCell ref="B26:C26"/>
    <mergeCell ref="B17:C17"/>
    <mergeCell ref="B19:C19"/>
    <mergeCell ref="B20:C20"/>
    <mergeCell ref="A28:D28"/>
    <mergeCell ref="B16:C16"/>
    <mergeCell ref="B10:C10"/>
    <mergeCell ref="B11:C11"/>
    <mergeCell ref="B13:C13"/>
    <mergeCell ref="B14:C14"/>
    <mergeCell ref="B22:C22"/>
  </mergeCells>
  <printOptions horizontalCentered="1" verticalCentered="1"/>
  <pageMargins left="0.5" right="0.5" top="0.5" bottom="0.5" header="0.5" footer="0.5"/>
  <pageSetup orientation="landscape" horizontalDpi="300" verticalDpi="300" r:id="rId1"/>
  <headerFooter alignWithMargins="0">
    <oddFooter>&amp;L&amp;9&amp;D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316D-5E9A-4397-8666-94BD8A713123}">
  <sheetPr>
    <pageSetUpPr fitToPage="1"/>
  </sheetPr>
  <dimension ref="A1:M49"/>
  <sheetViews>
    <sheetView showGridLines="0" topLeftCell="A9" zoomScaleNormal="100" zoomScaleSheetLayoutView="100" workbookViewId="0">
      <selection activeCell="B15" sqref="B15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8.7265625" style="123" customWidth="1"/>
    <col min="5" max="5" width="12" style="123" customWidth="1"/>
    <col min="6" max="6" width="2.36328125" style="2" customWidth="1"/>
    <col min="7" max="7" width="7.90625" style="2" customWidth="1"/>
    <col min="8" max="8" width="8.81640625" style="359" customWidth="1"/>
    <col min="9" max="9" width="6.90625" style="2" customWidth="1"/>
    <col min="10" max="10" width="11.08984375" style="2" customWidth="1"/>
    <col min="11" max="11" width="11.81640625" style="1" bestFit="1" customWidth="1"/>
    <col min="12" max="16384" width="10.6328125" style="2"/>
  </cols>
  <sheetData>
    <row r="1" spans="1:11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1" ht="18.600000000000001" thickBot="1" x14ac:dyDescent="0.4">
      <c r="A2" s="789" t="s">
        <v>157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1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327">
        <v>48935493.519999996</v>
      </c>
    </row>
    <row r="4" spans="1:11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793" t="s">
        <v>188</v>
      </c>
      <c r="I4" s="245" t="s">
        <v>161</v>
      </c>
      <c r="J4" s="246" t="s">
        <v>162</v>
      </c>
    </row>
    <row r="5" spans="1:11" x14ac:dyDescent="0.3">
      <c r="A5" s="792"/>
      <c r="B5" s="521" t="s">
        <v>1</v>
      </c>
      <c r="C5" s="247" t="s">
        <v>12</v>
      </c>
      <c r="D5" s="247" t="s">
        <v>13</v>
      </c>
      <c r="E5" s="247" t="s">
        <v>163</v>
      </c>
      <c r="G5" s="248" t="s">
        <v>164</v>
      </c>
      <c r="H5" s="794"/>
      <c r="I5" s="249" t="s">
        <v>165</v>
      </c>
      <c r="J5" s="250" t="s">
        <v>166</v>
      </c>
    </row>
    <row r="6" spans="1:11" x14ac:dyDescent="0.3">
      <c r="A6" s="324">
        <v>46204</v>
      </c>
      <c r="B6" s="327">
        <f>-'[4]01 July'!$H$13</f>
        <v>48999999.999999993</v>
      </c>
      <c r="C6" s="325"/>
      <c r="D6" s="251"/>
      <c r="E6" s="73">
        <f>SUM(B6:D6)</f>
        <v>48999999.999999993</v>
      </c>
      <c r="G6" s="252">
        <v>7.4999999999999997E-3</v>
      </c>
      <c r="H6" s="496">
        <v>0.1149</v>
      </c>
      <c r="I6" s="254">
        <f>+H6+G6</f>
        <v>0.12240000000000001</v>
      </c>
      <c r="J6" s="255">
        <f>IF(E6&lt;0,0,E6*I6/365)</f>
        <v>16431.780821917804</v>
      </c>
      <c r="K6" s="1">
        <f>+E6-K3</f>
        <v>64506.479999996722</v>
      </c>
    </row>
    <row r="7" spans="1:11" x14ac:dyDescent="0.3">
      <c r="A7" s="324">
        <f>+A6+1</f>
        <v>46205</v>
      </c>
      <c r="B7" s="327">
        <f>-'[4]02 July'!$H$13</f>
        <v>75398.999999992549</v>
      </c>
      <c r="C7" s="325"/>
      <c r="D7" s="251"/>
      <c r="E7" s="73">
        <f t="shared" ref="E7:E32" si="0">SUM(B7:D7)</f>
        <v>75398.999999992549</v>
      </c>
      <c r="G7" s="256">
        <f>+G6</f>
        <v>7.4999999999999997E-3</v>
      </c>
      <c r="H7" s="496">
        <f>H6</f>
        <v>0.1149</v>
      </c>
      <c r="I7" s="254">
        <f>+H7+G7</f>
        <v>0.12240000000000001</v>
      </c>
      <c r="J7" s="255">
        <f t="shared" ref="J7:J32" si="1">IF(E7&lt;0,0,E7*I7/365)</f>
        <v>25.284486575339972</v>
      </c>
      <c r="K7" s="1">
        <f>+E7-E6</f>
        <v>-48924601</v>
      </c>
    </row>
    <row r="8" spans="1:11" x14ac:dyDescent="0.3">
      <c r="A8" s="324">
        <f t="shared" ref="A8:A36" si="2">+A7+1</f>
        <v>46206</v>
      </c>
      <c r="B8" s="327">
        <f>-'[4]03 July'!$H$13</f>
        <v>1397981</v>
      </c>
      <c r="C8" s="325"/>
      <c r="D8" s="251"/>
      <c r="E8" s="73">
        <f t="shared" si="0"/>
        <v>1397981</v>
      </c>
      <c r="G8" s="256">
        <f t="shared" ref="G8:G36" si="3">+G7</f>
        <v>7.4999999999999997E-3</v>
      </c>
      <c r="H8" s="496">
        <f t="shared" ref="H8:H36" si="4">H7</f>
        <v>0.1149</v>
      </c>
      <c r="I8" s="254">
        <f t="shared" ref="I8:I32" si="5">+H8+G8</f>
        <v>0.12240000000000001</v>
      </c>
      <c r="J8" s="255">
        <f t="shared" si="1"/>
        <v>468.80239561643833</v>
      </c>
      <c r="K8" s="1">
        <f>+E8-E7</f>
        <v>1322582.0000000075</v>
      </c>
    </row>
    <row r="9" spans="1:11" x14ac:dyDescent="0.3">
      <c r="A9" s="324">
        <f t="shared" si="2"/>
        <v>46207</v>
      </c>
      <c r="B9" s="327">
        <f>-'[4]03 July'!$H$13</f>
        <v>1397981</v>
      </c>
      <c r="C9" s="325"/>
      <c r="D9" s="251"/>
      <c r="E9" s="73">
        <f t="shared" si="0"/>
        <v>1397981</v>
      </c>
      <c r="G9" s="256">
        <f t="shared" si="3"/>
        <v>7.4999999999999997E-3</v>
      </c>
      <c r="H9" s="496">
        <f t="shared" si="4"/>
        <v>0.1149</v>
      </c>
      <c r="I9" s="254">
        <f t="shared" si="5"/>
        <v>0.12240000000000001</v>
      </c>
      <c r="J9" s="255">
        <f t="shared" si="1"/>
        <v>468.80239561643833</v>
      </c>
      <c r="K9" s="1">
        <f>+E9-E8</f>
        <v>0</v>
      </c>
    </row>
    <row r="10" spans="1:11" x14ac:dyDescent="0.3">
      <c r="A10" s="232">
        <f t="shared" si="2"/>
        <v>46208</v>
      </c>
      <c r="B10" s="327">
        <f>-'[4]03 July'!$H$13</f>
        <v>1397981</v>
      </c>
      <c r="C10" s="73"/>
      <c r="D10" s="73"/>
      <c r="E10" s="73">
        <f t="shared" si="0"/>
        <v>1397981</v>
      </c>
      <c r="G10" s="256">
        <f t="shared" si="3"/>
        <v>7.4999999999999997E-3</v>
      </c>
      <c r="H10" s="496">
        <f t="shared" si="4"/>
        <v>0.1149</v>
      </c>
      <c r="I10" s="254">
        <f t="shared" si="5"/>
        <v>0.12240000000000001</v>
      </c>
      <c r="J10" s="255">
        <f t="shared" si="1"/>
        <v>468.80239561643833</v>
      </c>
      <c r="K10" s="1">
        <f t="shared" ref="K10:K32" si="6">+E10-E9</f>
        <v>0</v>
      </c>
    </row>
    <row r="11" spans="1:11" x14ac:dyDescent="0.3">
      <c r="A11" s="232">
        <f t="shared" si="2"/>
        <v>46209</v>
      </c>
      <c r="B11" s="327">
        <f>-'[4]06 July'!$H$13</f>
        <v>521041</v>
      </c>
      <c r="C11" s="73"/>
      <c r="D11" s="73"/>
      <c r="E11" s="73">
        <f>SUM(B11:D11)</f>
        <v>521041</v>
      </c>
      <c r="G11" s="256">
        <f t="shared" si="3"/>
        <v>7.4999999999999997E-3</v>
      </c>
      <c r="H11" s="496">
        <f t="shared" si="4"/>
        <v>0.1149</v>
      </c>
      <c r="I11" s="254">
        <f t="shared" si="5"/>
        <v>0.12240000000000001</v>
      </c>
      <c r="J11" s="255">
        <f t="shared" si="1"/>
        <v>174.72717369863014</v>
      </c>
      <c r="K11" s="1">
        <f t="shared" si="6"/>
        <v>-876940</v>
      </c>
    </row>
    <row r="12" spans="1:11" x14ac:dyDescent="0.3">
      <c r="A12" s="232">
        <f t="shared" si="2"/>
        <v>46210</v>
      </c>
      <c r="B12" s="327">
        <f>-'[4]07 July'!$H$13</f>
        <v>41758870.489999995</v>
      </c>
      <c r="C12" s="73"/>
      <c r="D12" s="73"/>
      <c r="E12" s="73">
        <f>SUM(B12:D12)</f>
        <v>41758870.489999995</v>
      </c>
      <c r="G12" s="256">
        <f t="shared" si="3"/>
        <v>7.4999999999999997E-3</v>
      </c>
      <c r="H12" s="496">
        <f t="shared" si="4"/>
        <v>0.1149</v>
      </c>
      <c r="I12" s="254">
        <f t="shared" si="5"/>
        <v>0.12240000000000001</v>
      </c>
      <c r="J12" s="255">
        <f t="shared" si="1"/>
        <v>14003.522597194518</v>
      </c>
      <c r="K12" s="1">
        <f t="shared" si="6"/>
        <v>41237829.489999995</v>
      </c>
    </row>
    <row r="13" spans="1:11" x14ac:dyDescent="0.3">
      <c r="A13" s="324">
        <f t="shared" si="2"/>
        <v>46211</v>
      </c>
      <c r="B13" s="327">
        <f>-'[4]08 July'!$H$13</f>
        <v>31758870.489999995</v>
      </c>
      <c r="C13" s="257"/>
      <c r="D13" s="73"/>
      <c r="E13" s="73">
        <f t="shared" si="0"/>
        <v>31758870.489999995</v>
      </c>
      <c r="G13" s="256">
        <f t="shared" si="3"/>
        <v>7.4999999999999997E-3</v>
      </c>
      <c r="H13" s="496">
        <f t="shared" si="4"/>
        <v>0.1149</v>
      </c>
      <c r="I13" s="254">
        <f t="shared" si="5"/>
        <v>0.12240000000000001</v>
      </c>
      <c r="J13" s="255">
        <f t="shared" si="1"/>
        <v>10650.097939660272</v>
      </c>
      <c r="K13" s="1">
        <f t="shared" si="6"/>
        <v>-10000000</v>
      </c>
    </row>
    <row r="14" spans="1:11" x14ac:dyDescent="0.3">
      <c r="A14" s="324">
        <f t="shared" si="2"/>
        <v>46212</v>
      </c>
      <c r="B14" s="327">
        <f>-'[4]09 July'!$H$13</f>
        <v>29785336.489999995</v>
      </c>
      <c r="C14" s="257"/>
      <c r="D14" s="73"/>
      <c r="E14" s="73">
        <f t="shared" si="0"/>
        <v>29785336.489999995</v>
      </c>
      <c r="G14" s="256">
        <f t="shared" si="3"/>
        <v>7.4999999999999997E-3</v>
      </c>
      <c r="H14" s="496">
        <f t="shared" si="4"/>
        <v>0.1149</v>
      </c>
      <c r="I14" s="254">
        <f t="shared" si="5"/>
        <v>0.12240000000000001</v>
      </c>
      <c r="J14" s="255">
        <f t="shared" si="1"/>
        <v>9988.2881818520545</v>
      </c>
      <c r="K14" s="1">
        <f t="shared" si="6"/>
        <v>-1973534</v>
      </c>
    </row>
    <row r="15" spans="1:11" x14ac:dyDescent="0.3">
      <c r="A15" s="324">
        <f t="shared" si="2"/>
        <v>46213</v>
      </c>
      <c r="B15" s="327">
        <f t="shared" ref="B15:B34" si="7">B14</f>
        <v>29785336.489999995</v>
      </c>
      <c r="C15" s="257"/>
      <c r="D15" s="73"/>
      <c r="E15" s="73">
        <f t="shared" si="0"/>
        <v>29785336.489999995</v>
      </c>
      <c r="G15" s="256">
        <f t="shared" si="3"/>
        <v>7.4999999999999997E-3</v>
      </c>
      <c r="H15" s="496">
        <f t="shared" si="4"/>
        <v>0.1149</v>
      </c>
      <c r="I15" s="254">
        <f t="shared" si="5"/>
        <v>0.12240000000000001</v>
      </c>
      <c r="J15" s="255">
        <f t="shared" si="1"/>
        <v>9988.2881818520545</v>
      </c>
      <c r="K15" s="1">
        <f t="shared" si="6"/>
        <v>0</v>
      </c>
    </row>
    <row r="16" spans="1:11" s="359" customFormat="1" x14ac:dyDescent="0.3">
      <c r="A16" s="357">
        <f t="shared" si="2"/>
        <v>46214</v>
      </c>
      <c r="B16" s="327">
        <f t="shared" si="7"/>
        <v>29785336.489999995</v>
      </c>
      <c r="C16" s="358"/>
      <c r="D16" s="313"/>
      <c r="E16" s="313">
        <f>SUM(B16:D16)</f>
        <v>29785336.489999995</v>
      </c>
      <c r="G16" s="360">
        <f t="shared" si="3"/>
        <v>7.4999999999999997E-3</v>
      </c>
      <c r="H16" s="496">
        <f t="shared" si="4"/>
        <v>0.1149</v>
      </c>
      <c r="I16" s="361">
        <f t="shared" si="5"/>
        <v>0.12240000000000001</v>
      </c>
      <c r="J16" s="362">
        <f t="shared" si="1"/>
        <v>9988.2881818520545</v>
      </c>
      <c r="K16" s="1">
        <f t="shared" si="6"/>
        <v>0</v>
      </c>
    </row>
    <row r="17" spans="1:11" s="359" customFormat="1" x14ac:dyDescent="0.3">
      <c r="A17" s="357">
        <f t="shared" si="2"/>
        <v>46215</v>
      </c>
      <c r="B17" s="327">
        <f t="shared" si="7"/>
        <v>29785336.489999995</v>
      </c>
      <c r="C17" s="358"/>
      <c r="D17" s="313"/>
      <c r="E17" s="313">
        <f>SUM(B17:D17)</f>
        <v>29785336.489999995</v>
      </c>
      <c r="G17" s="360">
        <f t="shared" si="3"/>
        <v>7.4999999999999997E-3</v>
      </c>
      <c r="H17" s="496">
        <f t="shared" si="4"/>
        <v>0.1149</v>
      </c>
      <c r="I17" s="361">
        <f t="shared" si="5"/>
        <v>0.12240000000000001</v>
      </c>
      <c r="J17" s="362">
        <f t="shared" si="1"/>
        <v>9988.2881818520545</v>
      </c>
      <c r="K17" s="1">
        <f t="shared" si="6"/>
        <v>0</v>
      </c>
    </row>
    <row r="18" spans="1:11" s="359" customFormat="1" x14ac:dyDescent="0.3">
      <c r="A18" s="357">
        <f t="shared" si="2"/>
        <v>46216</v>
      </c>
      <c r="B18" s="327">
        <f t="shared" si="7"/>
        <v>29785336.489999995</v>
      </c>
      <c r="C18" s="358"/>
      <c r="D18" s="313"/>
      <c r="E18" s="313">
        <f t="shared" si="0"/>
        <v>29785336.489999995</v>
      </c>
      <c r="G18" s="360">
        <f t="shared" si="3"/>
        <v>7.4999999999999997E-3</v>
      </c>
      <c r="H18" s="496">
        <f t="shared" si="4"/>
        <v>0.1149</v>
      </c>
      <c r="I18" s="361">
        <f t="shared" si="5"/>
        <v>0.12240000000000001</v>
      </c>
      <c r="J18" s="362">
        <f t="shared" si="1"/>
        <v>9988.2881818520545</v>
      </c>
      <c r="K18" s="1">
        <f t="shared" si="6"/>
        <v>0</v>
      </c>
    </row>
    <row r="19" spans="1:11" x14ac:dyDescent="0.3">
      <c r="A19" s="232">
        <f t="shared" si="2"/>
        <v>46217</v>
      </c>
      <c r="B19" s="327">
        <f t="shared" si="7"/>
        <v>29785336.489999995</v>
      </c>
      <c r="C19" s="257"/>
      <c r="D19" s="73"/>
      <c r="E19" s="73">
        <f t="shared" si="0"/>
        <v>29785336.489999995</v>
      </c>
      <c r="G19" s="256">
        <f t="shared" si="3"/>
        <v>7.4999999999999997E-3</v>
      </c>
      <c r="H19" s="496">
        <f t="shared" si="4"/>
        <v>0.1149</v>
      </c>
      <c r="I19" s="254">
        <f t="shared" si="5"/>
        <v>0.12240000000000001</v>
      </c>
      <c r="J19" s="255">
        <f t="shared" si="1"/>
        <v>9988.2881818520545</v>
      </c>
      <c r="K19" s="1">
        <f t="shared" si="6"/>
        <v>0</v>
      </c>
    </row>
    <row r="20" spans="1:11" x14ac:dyDescent="0.3">
      <c r="A20" s="232">
        <f t="shared" si="2"/>
        <v>46218</v>
      </c>
      <c r="B20" s="327">
        <f t="shared" si="7"/>
        <v>29785336.489999995</v>
      </c>
      <c r="C20" s="257"/>
      <c r="D20" s="73"/>
      <c r="E20" s="73">
        <f t="shared" si="0"/>
        <v>29785336.489999995</v>
      </c>
      <c r="G20" s="256">
        <f t="shared" si="3"/>
        <v>7.4999999999999997E-3</v>
      </c>
      <c r="H20" s="496">
        <f t="shared" si="4"/>
        <v>0.1149</v>
      </c>
      <c r="I20" s="254">
        <f t="shared" si="5"/>
        <v>0.12240000000000001</v>
      </c>
      <c r="J20" s="255">
        <f t="shared" si="1"/>
        <v>9988.2881818520545</v>
      </c>
      <c r="K20" s="1">
        <f t="shared" si="6"/>
        <v>0</v>
      </c>
    </row>
    <row r="21" spans="1:11" x14ac:dyDescent="0.3">
      <c r="A21" s="232">
        <f t="shared" si="2"/>
        <v>46219</v>
      </c>
      <c r="B21" s="327">
        <f t="shared" si="7"/>
        <v>29785336.489999995</v>
      </c>
      <c r="C21" s="257"/>
      <c r="D21" s="73"/>
      <c r="E21" s="73">
        <f t="shared" si="0"/>
        <v>29785336.489999995</v>
      </c>
      <c r="G21" s="256">
        <f t="shared" si="3"/>
        <v>7.4999999999999997E-3</v>
      </c>
      <c r="H21" s="496">
        <f t="shared" si="4"/>
        <v>0.1149</v>
      </c>
      <c r="I21" s="254">
        <f t="shared" si="5"/>
        <v>0.12240000000000001</v>
      </c>
      <c r="J21" s="255">
        <f t="shared" si="1"/>
        <v>9988.2881818520545</v>
      </c>
      <c r="K21" s="1">
        <f t="shared" si="6"/>
        <v>0</v>
      </c>
    </row>
    <row r="22" spans="1:11" x14ac:dyDescent="0.3">
      <c r="A22" s="232">
        <f t="shared" si="2"/>
        <v>46220</v>
      </c>
      <c r="B22" s="327">
        <f t="shared" si="7"/>
        <v>29785336.489999995</v>
      </c>
      <c r="C22" s="73"/>
      <c r="D22" s="73"/>
      <c r="E22" s="73">
        <f>SUM(B22:D22)</f>
        <v>29785336.489999995</v>
      </c>
      <c r="G22" s="256">
        <f t="shared" si="3"/>
        <v>7.4999999999999997E-3</v>
      </c>
      <c r="H22" s="496">
        <f t="shared" si="4"/>
        <v>0.1149</v>
      </c>
      <c r="I22" s="254">
        <f t="shared" si="5"/>
        <v>0.12240000000000001</v>
      </c>
      <c r="J22" s="255">
        <f t="shared" si="1"/>
        <v>9988.2881818520545</v>
      </c>
      <c r="K22" s="1">
        <f t="shared" si="6"/>
        <v>0</v>
      </c>
    </row>
    <row r="23" spans="1:11" x14ac:dyDescent="0.3">
      <c r="A23" s="232">
        <f t="shared" si="2"/>
        <v>46221</v>
      </c>
      <c r="B23" s="327">
        <f t="shared" si="7"/>
        <v>29785336.489999995</v>
      </c>
      <c r="C23" s="90"/>
      <c r="D23" s="73"/>
      <c r="E23" s="73">
        <f t="shared" si="0"/>
        <v>29785336.489999995</v>
      </c>
      <c r="G23" s="256">
        <f t="shared" si="3"/>
        <v>7.4999999999999997E-3</v>
      </c>
      <c r="H23" s="496">
        <f t="shared" si="4"/>
        <v>0.1149</v>
      </c>
      <c r="I23" s="254">
        <f t="shared" si="5"/>
        <v>0.12240000000000001</v>
      </c>
      <c r="J23" s="255">
        <f t="shared" si="1"/>
        <v>9988.2881818520545</v>
      </c>
      <c r="K23" s="1">
        <f t="shared" si="6"/>
        <v>0</v>
      </c>
    </row>
    <row r="24" spans="1:11" x14ac:dyDescent="0.3">
      <c r="A24" s="232">
        <f t="shared" si="2"/>
        <v>46222</v>
      </c>
      <c r="B24" s="327">
        <f t="shared" si="7"/>
        <v>29785336.489999995</v>
      </c>
      <c r="C24" s="73"/>
      <c r="D24" s="73"/>
      <c r="E24" s="73">
        <f t="shared" si="0"/>
        <v>29785336.489999995</v>
      </c>
      <c r="G24" s="256">
        <f t="shared" si="3"/>
        <v>7.4999999999999997E-3</v>
      </c>
      <c r="H24" s="496">
        <f t="shared" si="4"/>
        <v>0.1149</v>
      </c>
      <c r="I24" s="254">
        <f t="shared" si="5"/>
        <v>0.12240000000000001</v>
      </c>
      <c r="J24" s="255">
        <f t="shared" si="1"/>
        <v>9988.2881818520545</v>
      </c>
      <c r="K24" s="1">
        <f t="shared" si="6"/>
        <v>0</v>
      </c>
    </row>
    <row r="25" spans="1:11" x14ac:dyDescent="0.3">
      <c r="A25" s="232">
        <f t="shared" si="2"/>
        <v>46223</v>
      </c>
      <c r="B25" s="327">
        <f t="shared" si="7"/>
        <v>29785336.489999995</v>
      </c>
      <c r="C25" s="73"/>
      <c r="D25" s="73"/>
      <c r="E25" s="73">
        <f t="shared" si="0"/>
        <v>29785336.489999995</v>
      </c>
      <c r="G25" s="256">
        <f t="shared" si="3"/>
        <v>7.4999999999999997E-3</v>
      </c>
      <c r="H25" s="496">
        <f t="shared" si="4"/>
        <v>0.1149</v>
      </c>
      <c r="I25" s="254">
        <f t="shared" si="5"/>
        <v>0.12240000000000001</v>
      </c>
      <c r="J25" s="255">
        <f t="shared" si="1"/>
        <v>9988.2881818520545</v>
      </c>
      <c r="K25" s="1">
        <f t="shared" si="6"/>
        <v>0</v>
      </c>
    </row>
    <row r="26" spans="1:11" x14ac:dyDescent="0.3">
      <c r="A26" s="232">
        <f t="shared" si="2"/>
        <v>46224</v>
      </c>
      <c r="B26" s="327">
        <f t="shared" si="7"/>
        <v>29785336.489999995</v>
      </c>
      <c r="C26" s="73"/>
      <c r="D26" s="73"/>
      <c r="E26" s="73">
        <f t="shared" si="0"/>
        <v>29785336.489999995</v>
      </c>
      <c r="G26" s="256">
        <f t="shared" si="3"/>
        <v>7.4999999999999997E-3</v>
      </c>
      <c r="H26" s="496">
        <f t="shared" si="4"/>
        <v>0.1149</v>
      </c>
      <c r="I26" s="254">
        <f t="shared" si="5"/>
        <v>0.12240000000000001</v>
      </c>
      <c r="J26" s="255">
        <f t="shared" si="1"/>
        <v>9988.2881818520545</v>
      </c>
      <c r="K26" s="1">
        <f t="shared" si="6"/>
        <v>0</v>
      </c>
    </row>
    <row r="27" spans="1:11" x14ac:dyDescent="0.3">
      <c r="A27" s="232">
        <f t="shared" si="2"/>
        <v>46225</v>
      </c>
      <c r="B27" s="327">
        <f t="shared" si="7"/>
        <v>29785336.489999995</v>
      </c>
      <c r="C27" s="73"/>
      <c r="D27" s="73"/>
      <c r="E27" s="73">
        <f t="shared" si="0"/>
        <v>29785336.489999995</v>
      </c>
      <c r="G27" s="256">
        <f t="shared" si="3"/>
        <v>7.4999999999999997E-3</v>
      </c>
      <c r="H27" s="496">
        <f t="shared" si="4"/>
        <v>0.1149</v>
      </c>
      <c r="I27" s="254">
        <f t="shared" si="5"/>
        <v>0.12240000000000001</v>
      </c>
      <c r="J27" s="255">
        <f t="shared" si="1"/>
        <v>9988.2881818520545</v>
      </c>
      <c r="K27" s="1">
        <f t="shared" si="6"/>
        <v>0</v>
      </c>
    </row>
    <row r="28" spans="1:11" x14ac:dyDescent="0.3">
      <c r="A28" s="232">
        <f t="shared" si="2"/>
        <v>46226</v>
      </c>
      <c r="B28" s="327">
        <f t="shared" si="7"/>
        <v>29785336.489999995</v>
      </c>
      <c r="C28" s="73"/>
      <c r="D28" s="73"/>
      <c r="E28" s="73">
        <f t="shared" si="0"/>
        <v>29785336.489999995</v>
      </c>
      <c r="G28" s="256">
        <f t="shared" si="3"/>
        <v>7.4999999999999997E-3</v>
      </c>
      <c r="H28" s="496">
        <f t="shared" si="4"/>
        <v>0.1149</v>
      </c>
      <c r="I28" s="254">
        <f t="shared" si="5"/>
        <v>0.12240000000000001</v>
      </c>
      <c r="J28" s="255">
        <f t="shared" si="1"/>
        <v>9988.2881818520545</v>
      </c>
      <c r="K28" s="1">
        <f t="shared" si="6"/>
        <v>0</v>
      </c>
    </row>
    <row r="29" spans="1:11" x14ac:dyDescent="0.3">
      <c r="A29" s="232">
        <f t="shared" si="2"/>
        <v>46227</v>
      </c>
      <c r="B29" s="327">
        <f t="shared" si="7"/>
        <v>29785336.489999995</v>
      </c>
      <c r="C29" s="73"/>
      <c r="D29" s="73"/>
      <c r="E29" s="73">
        <f t="shared" si="0"/>
        <v>29785336.489999995</v>
      </c>
      <c r="G29" s="256">
        <f t="shared" si="3"/>
        <v>7.4999999999999997E-3</v>
      </c>
      <c r="H29" s="496">
        <f t="shared" si="4"/>
        <v>0.1149</v>
      </c>
      <c r="I29" s="254">
        <f t="shared" si="5"/>
        <v>0.12240000000000001</v>
      </c>
      <c r="J29" s="255">
        <f t="shared" si="1"/>
        <v>9988.2881818520545</v>
      </c>
      <c r="K29" s="1">
        <f t="shared" si="6"/>
        <v>0</v>
      </c>
    </row>
    <row r="30" spans="1:11" x14ac:dyDescent="0.3">
      <c r="A30" s="232">
        <f t="shared" si="2"/>
        <v>46228</v>
      </c>
      <c r="B30" s="327">
        <f t="shared" si="7"/>
        <v>29785336.489999995</v>
      </c>
      <c r="C30" s="73"/>
      <c r="D30" s="73"/>
      <c r="E30" s="73">
        <f t="shared" si="0"/>
        <v>29785336.489999995</v>
      </c>
      <c r="G30" s="256">
        <f t="shared" si="3"/>
        <v>7.4999999999999997E-3</v>
      </c>
      <c r="H30" s="496">
        <f t="shared" si="4"/>
        <v>0.1149</v>
      </c>
      <c r="I30" s="254">
        <f t="shared" si="5"/>
        <v>0.12240000000000001</v>
      </c>
      <c r="J30" s="255">
        <f t="shared" si="1"/>
        <v>9988.2881818520545</v>
      </c>
      <c r="K30" s="1">
        <f t="shared" si="6"/>
        <v>0</v>
      </c>
    </row>
    <row r="31" spans="1:11" x14ac:dyDescent="0.3">
      <c r="A31" s="232">
        <f t="shared" si="2"/>
        <v>46229</v>
      </c>
      <c r="B31" s="327">
        <f t="shared" si="7"/>
        <v>29785336.489999995</v>
      </c>
      <c r="C31" s="73"/>
      <c r="D31" s="73"/>
      <c r="E31" s="73">
        <f t="shared" si="0"/>
        <v>29785336.489999995</v>
      </c>
      <c r="G31" s="256">
        <f t="shared" si="3"/>
        <v>7.4999999999999997E-3</v>
      </c>
      <c r="H31" s="496">
        <f t="shared" si="4"/>
        <v>0.1149</v>
      </c>
      <c r="I31" s="254">
        <f t="shared" si="5"/>
        <v>0.12240000000000001</v>
      </c>
      <c r="J31" s="255">
        <f t="shared" si="1"/>
        <v>9988.2881818520545</v>
      </c>
      <c r="K31" s="1">
        <f t="shared" si="6"/>
        <v>0</v>
      </c>
    </row>
    <row r="32" spans="1:11" x14ac:dyDescent="0.3">
      <c r="A32" s="232">
        <f t="shared" si="2"/>
        <v>46230</v>
      </c>
      <c r="B32" s="327">
        <f t="shared" si="7"/>
        <v>29785336.489999995</v>
      </c>
      <c r="C32" s="73"/>
      <c r="D32" s="73"/>
      <c r="E32" s="73">
        <f t="shared" si="0"/>
        <v>29785336.489999995</v>
      </c>
      <c r="G32" s="256">
        <f t="shared" si="3"/>
        <v>7.4999999999999997E-3</v>
      </c>
      <c r="H32" s="496">
        <f t="shared" si="4"/>
        <v>0.1149</v>
      </c>
      <c r="I32" s="254">
        <f t="shared" si="5"/>
        <v>0.12240000000000001</v>
      </c>
      <c r="J32" s="255">
        <f t="shared" si="1"/>
        <v>9988.2881818520545</v>
      </c>
      <c r="K32" s="1">
        <f t="shared" si="6"/>
        <v>0</v>
      </c>
    </row>
    <row r="33" spans="1:13" x14ac:dyDescent="0.3">
      <c r="A33" s="232">
        <f t="shared" si="2"/>
        <v>46231</v>
      </c>
      <c r="B33" s="327">
        <f t="shared" si="7"/>
        <v>29785336.489999995</v>
      </c>
      <c r="C33" s="73"/>
      <c r="D33" s="73"/>
      <c r="E33" s="73">
        <f>SUM(B33:D33)</f>
        <v>29785336.489999995</v>
      </c>
      <c r="G33" s="256">
        <f t="shared" si="3"/>
        <v>7.4999999999999997E-3</v>
      </c>
      <c r="H33" s="496">
        <f t="shared" si="4"/>
        <v>0.1149</v>
      </c>
      <c r="I33" s="254">
        <f>+H33+G33</f>
        <v>0.12240000000000001</v>
      </c>
      <c r="J33" s="255">
        <f>IF(E33&lt;0,0,E33*I33/365)</f>
        <v>9988.2881818520545</v>
      </c>
      <c r="K33" s="1">
        <f>+E33-E32</f>
        <v>0</v>
      </c>
    </row>
    <row r="34" spans="1:13" x14ac:dyDescent="0.3">
      <c r="A34" s="232">
        <f t="shared" si="2"/>
        <v>46232</v>
      </c>
      <c r="B34" s="327">
        <f t="shared" si="7"/>
        <v>29785336.489999995</v>
      </c>
      <c r="C34" s="73"/>
      <c r="D34" s="73"/>
      <c r="E34" s="73">
        <f>SUM(B34:D34)</f>
        <v>29785336.489999995</v>
      </c>
      <c r="G34" s="256">
        <f t="shared" si="3"/>
        <v>7.4999999999999997E-3</v>
      </c>
      <c r="H34" s="496">
        <f t="shared" si="4"/>
        <v>0.1149</v>
      </c>
      <c r="I34" s="254">
        <f>+H34+G34</f>
        <v>0.12240000000000001</v>
      </c>
      <c r="J34" s="255">
        <f>IF(E34&lt;0,0,E34*I34/365)</f>
        <v>9988.2881818520545</v>
      </c>
      <c r="K34" s="1">
        <f>+E34-E33</f>
        <v>0</v>
      </c>
    </row>
    <row r="35" spans="1:13" x14ac:dyDescent="0.3">
      <c r="A35" s="232">
        <f t="shared" si="2"/>
        <v>46233</v>
      </c>
      <c r="B35" s="327">
        <f>B34</f>
        <v>29785336.489999995</v>
      </c>
      <c r="C35" s="73"/>
      <c r="D35" s="73"/>
      <c r="E35" s="73">
        <f>SUM(B35:D35)</f>
        <v>29785336.489999995</v>
      </c>
      <c r="G35" s="256">
        <f t="shared" si="3"/>
        <v>7.4999999999999997E-3</v>
      </c>
      <c r="H35" s="496">
        <f t="shared" si="4"/>
        <v>0.1149</v>
      </c>
      <c r="I35" s="254">
        <f>+H35+G35</f>
        <v>0.12240000000000001</v>
      </c>
      <c r="J35" s="255">
        <f>IF(E35&lt;0,0,E35*I35/365)</f>
        <v>9988.2881818520545</v>
      </c>
      <c r="K35" s="1">
        <f>+E35-E34</f>
        <v>0</v>
      </c>
    </row>
    <row r="36" spans="1:13" x14ac:dyDescent="0.3">
      <c r="A36" s="232">
        <f t="shared" si="2"/>
        <v>46234</v>
      </c>
      <c r="B36" s="327">
        <f>B35</f>
        <v>29785336.489999995</v>
      </c>
      <c r="C36" s="73"/>
      <c r="D36" s="73"/>
      <c r="E36" s="73">
        <f>SUM(B36:D36)</f>
        <v>29785336.489999995</v>
      </c>
      <c r="G36" s="256">
        <f t="shared" si="3"/>
        <v>7.4999999999999997E-3</v>
      </c>
      <c r="H36" s="496">
        <f t="shared" si="4"/>
        <v>0.1149</v>
      </c>
      <c r="I36" s="254">
        <f>+H36+G36</f>
        <v>0.12240000000000001</v>
      </c>
      <c r="J36" s="255">
        <f>IF(E36&lt;0,0,E36*I36/365)</f>
        <v>9988.2881818520545</v>
      </c>
      <c r="K36" s="1">
        <f>+E36-E35</f>
        <v>0</v>
      </c>
    </row>
    <row r="37" spans="1:13" x14ac:dyDescent="0.3">
      <c r="E37" s="123">
        <f>SUM(B37:D37)</f>
        <v>0</v>
      </c>
      <c r="G37" s="800" t="s">
        <v>18</v>
      </c>
      <c r="H37" s="801"/>
      <c r="I37" s="802"/>
      <c r="J37" s="691">
        <f>SUM(J6:J36)</f>
        <v>272422.44838849315</v>
      </c>
    </row>
    <row r="38" spans="1:13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3" x14ac:dyDescent="0.3">
      <c r="G39" s="783" t="s">
        <v>24</v>
      </c>
      <c r="H39" s="783"/>
      <c r="I39" s="783"/>
    </row>
    <row r="40" spans="1:13" x14ac:dyDescent="0.3">
      <c r="G40" s="784"/>
      <c r="H40" s="784"/>
      <c r="I40" s="784"/>
      <c r="J40" s="261" t="s">
        <v>0</v>
      </c>
    </row>
    <row r="41" spans="1:13" x14ac:dyDescent="0.3">
      <c r="G41" s="785" t="s">
        <v>19</v>
      </c>
      <c r="H41" s="785"/>
      <c r="I41" s="785"/>
      <c r="J41" s="265">
        <f>'[3]SONERI-RF '!$J$46</f>
        <v>406114.96916672867</v>
      </c>
      <c r="K41" s="120"/>
    </row>
    <row r="42" spans="1:13" x14ac:dyDescent="0.3">
      <c r="G42" s="803" t="s">
        <v>40</v>
      </c>
      <c r="H42" s="803"/>
      <c r="I42" s="803"/>
      <c r="J42" s="540">
        <v>406210.48</v>
      </c>
      <c r="K42" s="541"/>
      <c r="L42" s="541"/>
      <c r="M42" s="541"/>
    </row>
    <row r="43" spans="1:13" x14ac:dyDescent="0.3">
      <c r="B43" s="2"/>
      <c r="D43" s="2"/>
      <c r="G43" s="787" t="str">
        <f>IF(J43&lt;0,"Excess Provision to be Reversed","Additional Provision Required")</f>
        <v>Additional Provision Required</v>
      </c>
      <c r="H43" s="787"/>
      <c r="I43" s="787"/>
      <c r="J43" s="263">
        <f>IF(J42=0,0,J42-J41)</f>
        <v>95.510833271313459</v>
      </c>
    </row>
    <row r="44" spans="1:13" ht="15" customHeight="1" x14ac:dyDescent="0.3">
      <c r="G44" s="784"/>
      <c r="H44" s="784"/>
      <c r="I44" s="784"/>
      <c r="J44" s="784"/>
    </row>
    <row r="45" spans="1:13" ht="16.2" customHeight="1" thickBot="1" x14ac:dyDescent="0.35">
      <c r="G45" s="780" t="s">
        <v>145</v>
      </c>
      <c r="H45" s="780"/>
      <c r="I45" s="780"/>
      <c r="J45" s="264">
        <f>J37+J43</f>
        <v>272517.95922176447</v>
      </c>
      <c r="L45" s="74"/>
    </row>
    <row r="46" spans="1:13" x14ac:dyDescent="0.3">
      <c r="G46" s="781"/>
      <c r="H46" s="781"/>
      <c r="I46" s="781"/>
      <c r="J46" s="781"/>
    </row>
    <row r="47" spans="1:13" x14ac:dyDescent="0.3">
      <c r="G47" s="782" t="s">
        <v>33</v>
      </c>
      <c r="H47" s="782"/>
      <c r="I47" s="782"/>
      <c r="J47" s="265">
        <f>J41+J45-J42</f>
        <v>272422.44838849315</v>
      </c>
      <c r="L47" s="466"/>
    </row>
    <row r="49" spans="10:10" x14ac:dyDescent="0.3">
      <c r="J49" s="312"/>
    </row>
  </sheetData>
  <mergeCells count="16"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  <mergeCell ref="A1:J1"/>
    <mergeCell ref="A2:I2"/>
    <mergeCell ref="A3:J3"/>
    <mergeCell ref="A4:A5"/>
    <mergeCell ref="H4:H5"/>
    <mergeCell ref="A38:J38"/>
    <mergeCell ref="G37:I37"/>
  </mergeCells>
  <printOptions horizontalCentered="1" verticalCentered="1"/>
  <pageMargins left="0.75" right="0.75" top="0.5" bottom="0.5" header="0.5" footer="0.5"/>
  <pageSetup orientation="landscape" r:id="rId1"/>
  <headerFooter alignWithMargins="0"/>
  <ignoredErrors>
    <ignoredError sqref="E6:E32" formulaRange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110A-B85C-4EBA-9364-28FC8DCF50FD}">
  <sheetPr>
    <pageSetUpPr fitToPage="1"/>
  </sheetPr>
  <dimension ref="A1:F91"/>
  <sheetViews>
    <sheetView showGridLines="0" topLeftCell="A62" zoomScaleNormal="100" workbookViewId="0">
      <selection activeCell="A69" sqref="A69:C71"/>
    </sheetView>
  </sheetViews>
  <sheetFormatPr defaultColWidth="10.6328125" defaultRowHeight="13.8" x14ac:dyDescent="0.3"/>
  <cols>
    <col min="1" max="1" width="13.54296875" style="2" customWidth="1"/>
    <col min="2" max="2" width="13.81640625" style="227" customWidth="1"/>
    <col min="3" max="3" width="11.6328125" style="2" customWidth="1"/>
    <col min="4" max="4" width="11" style="2" bestFit="1" customWidth="1"/>
    <col min="5" max="5" width="8.26953125" style="2" customWidth="1"/>
    <col min="6" max="16384" width="10.6328125" style="2"/>
  </cols>
  <sheetData>
    <row r="1" spans="1:6" ht="18" x14ac:dyDescent="0.35">
      <c r="A1" s="788" t="s">
        <v>152</v>
      </c>
      <c r="B1" s="788"/>
      <c r="C1" s="788"/>
    </row>
    <row r="2" spans="1:6" ht="18.600000000000001" thickBot="1" x14ac:dyDescent="0.4">
      <c r="A2" s="84" t="s">
        <v>156</v>
      </c>
      <c r="B2" s="542"/>
      <c r="C2" s="58">
        <f>'FINANCIAL COST SUMMARY '!I2</f>
        <v>46204</v>
      </c>
    </row>
    <row r="3" spans="1:6" x14ac:dyDescent="0.3">
      <c r="A3" s="798"/>
      <c r="B3" s="798"/>
      <c r="C3" s="798"/>
    </row>
    <row r="4" spans="1:6" s="227" customFormat="1" x14ac:dyDescent="0.3">
      <c r="A4" s="804" t="s">
        <v>23</v>
      </c>
      <c r="B4" s="804"/>
      <c r="C4" s="804"/>
    </row>
    <row r="5" spans="1:6" s="230" customFormat="1" ht="41.4" x14ac:dyDescent="0.3">
      <c r="A5" s="86" t="s">
        <v>4</v>
      </c>
      <c r="B5" s="328" t="s">
        <v>321</v>
      </c>
      <c r="C5" s="229" t="s">
        <v>0</v>
      </c>
    </row>
    <row r="6" spans="1:6" x14ac:dyDescent="0.3">
      <c r="A6" s="232">
        <v>46204</v>
      </c>
      <c r="B6" s="73">
        <v>0</v>
      </c>
      <c r="C6" s="73">
        <f t="shared" ref="C6:C34" si="0">SUM(B6:B6)</f>
        <v>0</v>
      </c>
      <c r="D6" s="97">
        <v>46066</v>
      </c>
      <c r="E6" s="2">
        <v>180</v>
      </c>
      <c r="F6" s="97">
        <f>D6+E6</f>
        <v>46246</v>
      </c>
    </row>
    <row r="7" spans="1:6" x14ac:dyDescent="0.3">
      <c r="A7" s="232">
        <f>+A6+1</f>
        <v>46205</v>
      </c>
      <c r="B7" s="73">
        <v>0</v>
      </c>
      <c r="C7" s="73">
        <f t="shared" si="0"/>
        <v>0</v>
      </c>
    </row>
    <row r="8" spans="1:6" x14ac:dyDescent="0.3">
      <c r="A8" s="232">
        <f t="shared" ref="A8:A36" si="1">+A7+1</f>
        <v>46206</v>
      </c>
      <c r="B8" s="73">
        <v>0</v>
      </c>
      <c r="C8" s="73">
        <f t="shared" si="0"/>
        <v>0</v>
      </c>
    </row>
    <row r="9" spans="1:6" x14ac:dyDescent="0.3">
      <c r="A9" s="232">
        <f t="shared" si="1"/>
        <v>46207</v>
      </c>
      <c r="B9" s="73">
        <v>0</v>
      </c>
      <c r="C9" s="73">
        <f t="shared" si="0"/>
        <v>0</v>
      </c>
    </row>
    <row r="10" spans="1:6" x14ac:dyDescent="0.3">
      <c r="A10" s="232">
        <f t="shared" si="1"/>
        <v>46208</v>
      </c>
      <c r="B10" s="73">
        <v>0</v>
      </c>
      <c r="C10" s="73">
        <f t="shared" si="0"/>
        <v>0</v>
      </c>
    </row>
    <row r="11" spans="1:6" x14ac:dyDescent="0.3">
      <c r="A11" s="232">
        <f t="shared" si="1"/>
        <v>46209</v>
      </c>
      <c r="B11" s="73">
        <v>0</v>
      </c>
      <c r="C11" s="73">
        <f t="shared" si="0"/>
        <v>0</v>
      </c>
    </row>
    <row r="12" spans="1:6" x14ac:dyDescent="0.3">
      <c r="A12" s="232">
        <f t="shared" si="1"/>
        <v>46210</v>
      </c>
      <c r="B12" s="73">
        <v>0</v>
      </c>
      <c r="C12" s="73">
        <f t="shared" si="0"/>
        <v>0</v>
      </c>
    </row>
    <row r="13" spans="1:6" x14ac:dyDescent="0.3">
      <c r="A13" s="232">
        <f t="shared" si="1"/>
        <v>46211</v>
      </c>
      <c r="B13" s="73">
        <v>0</v>
      </c>
      <c r="C13" s="73">
        <f t="shared" si="0"/>
        <v>0</v>
      </c>
    </row>
    <row r="14" spans="1:6" x14ac:dyDescent="0.3">
      <c r="A14" s="232">
        <f t="shared" si="1"/>
        <v>46212</v>
      </c>
      <c r="B14" s="73">
        <v>0</v>
      </c>
      <c r="C14" s="73">
        <f t="shared" si="0"/>
        <v>0</v>
      </c>
    </row>
    <row r="15" spans="1:6" x14ac:dyDescent="0.3">
      <c r="A15" s="232">
        <f t="shared" si="1"/>
        <v>46213</v>
      </c>
      <c r="B15" s="73">
        <v>0</v>
      </c>
      <c r="C15" s="73">
        <f t="shared" si="0"/>
        <v>0</v>
      </c>
    </row>
    <row r="16" spans="1:6" x14ac:dyDescent="0.3">
      <c r="A16" s="232">
        <f t="shared" si="1"/>
        <v>46214</v>
      </c>
      <c r="B16" s="73">
        <v>0</v>
      </c>
      <c r="C16" s="73">
        <f t="shared" si="0"/>
        <v>0</v>
      </c>
      <c r="D16" s="356"/>
    </row>
    <row r="17" spans="1:6" x14ac:dyDescent="0.3">
      <c r="A17" s="232">
        <f t="shared" si="1"/>
        <v>46215</v>
      </c>
      <c r="B17" s="73">
        <v>0</v>
      </c>
      <c r="C17" s="73">
        <f t="shared" si="0"/>
        <v>0</v>
      </c>
      <c r="E17" s="1"/>
      <c r="F17" s="1"/>
    </row>
    <row r="18" spans="1:6" x14ac:dyDescent="0.3">
      <c r="A18" s="232">
        <f t="shared" si="1"/>
        <v>46216</v>
      </c>
      <c r="B18" s="73">
        <v>0</v>
      </c>
      <c r="C18" s="73">
        <f t="shared" si="0"/>
        <v>0</v>
      </c>
    </row>
    <row r="19" spans="1:6" x14ac:dyDescent="0.3">
      <c r="A19" s="232">
        <f t="shared" si="1"/>
        <v>46217</v>
      </c>
      <c r="B19" s="73">
        <v>0</v>
      </c>
      <c r="C19" s="73">
        <f t="shared" si="0"/>
        <v>0</v>
      </c>
    </row>
    <row r="20" spans="1:6" x14ac:dyDescent="0.3">
      <c r="A20" s="232">
        <f t="shared" si="1"/>
        <v>46218</v>
      </c>
      <c r="B20" s="73">
        <v>0</v>
      </c>
      <c r="C20" s="73">
        <f t="shared" si="0"/>
        <v>0</v>
      </c>
    </row>
    <row r="21" spans="1:6" x14ac:dyDescent="0.3">
      <c r="A21" s="232">
        <f t="shared" si="1"/>
        <v>46219</v>
      </c>
      <c r="B21" s="73">
        <v>0</v>
      </c>
      <c r="C21" s="73">
        <f t="shared" si="0"/>
        <v>0</v>
      </c>
    </row>
    <row r="22" spans="1:6" x14ac:dyDescent="0.3">
      <c r="A22" s="232">
        <f t="shared" si="1"/>
        <v>46220</v>
      </c>
      <c r="B22" s="73">
        <v>0</v>
      </c>
      <c r="C22" s="73">
        <f t="shared" si="0"/>
        <v>0</v>
      </c>
    </row>
    <row r="23" spans="1:6" x14ac:dyDescent="0.3">
      <c r="A23" s="232">
        <f t="shared" si="1"/>
        <v>46221</v>
      </c>
      <c r="B23" s="73">
        <v>0</v>
      </c>
      <c r="C23" s="73">
        <f t="shared" si="0"/>
        <v>0</v>
      </c>
    </row>
    <row r="24" spans="1:6" x14ac:dyDescent="0.3">
      <c r="A24" s="232">
        <f t="shared" si="1"/>
        <v>46222</v>
      </c>
      <c r="B24" s="73">
        <v>0</v>
      </c>
      <c r="C24" s="73">
        <f t="shared" si="0"/>
        <v>0</v>
      </c>
    </row>
    <row r="25" spans="1:6" x14ac:dyDescent="0.3">
      <c r="A25" s="232">
        <f t="shared" si="1"/>
        <v>46223</v>
      </c>
      <c r="B25" s="73">
        <v>0</v>
      </c>
      <c r="C25" s="73">
        <f t="shared" si="0"/>
        <v>0</v>
      </c>
    </row>
    <row r="26" spans="1:6" x14ac:dyDescent="0.3">
      <c r="A26" s="232">
        <f t="shared" si="1"/>
        <v>46224</v>
      </c>
      <c r="B26" s="73">
        <v>0</v>
      </c>
      <c r="C26" s="73">
        <f t="shared" si="0"/>
        <v>0</v>
      </c>
    </row>
    <row r="27" spans="1:6" x14ac:dyDescent="0.3">
      <c r="A27" s="232">
        <f t="shared" si="1"/>
        <v>46225</v>
      </c>
      <c r="B27" s="73">
        <v>0</v>
      </c>
      <c r="C27" s="73">
        <f t="shared" si="0"/>
        <v>0</v>
      </c>
    </row>
    <row r="28" spans="1:6" x14ac:dyDescent="0.3">
      <c r="A28" s="232">
        <f t="shared" si="1"/>
        <v>46226</v>
      </c>
      <c r="B28" s="73">
        <v>0</v>
      </c>
      <c r="C28" s="73">
        <f t="shared" si="0"/>
        <v>0</v>
      </c>
    </row>
    <row r="29" spans="1:6" x14ac:dyDescent="0.3">
      <c r="A29" s="232">
        <f t="shared" si="1"/>
        <v>46227</v>
      </c>
      <c r="B29" s="73">
        <v>0</v>
      </c>
      <c r="C29" s="73">
        <f t="shared" si="0"/>
        <v>0</v>
      </c>
      <c r="D29" s="227"/>
    </row>
    <row r="30" spans="1:6" x14ac:dyDescent="0.3">
      <c r="A30" s="232">
        <f t="shared" si="1"/>
        <v>46228</v>
      </c>
      <c r="B30" s="73">
        <v>0</v>
      </c>
      <c r="C30" s="73">
        <f t="shared" si="0"/>
        <v>0</v>
      </c>
    </row>
    <row r="31" spans="1:6" x14ac:dyDescent="0.3">
      <c r="A31" s="232">
        <f t="shared" si="1"/>
        <v>46229</v>
      </c>
      <c r="B31" s="73">
        <v>0</v>
      </c>
      <c r="C31" s="73">
        <f t="shared" si="0"/>
        <v>0</v>
      </c>
    </row>
    <row r="32" spans="1:6" x14ac:dyDescent="0.3">
      <c r="A32" s="232">
        <f t="shared" si="1"/>
        <v>46230</v>
      </c>
      <c r="B32" s="73">
        <v>0</v>
      </c>
      <c r="C32" s="73">
        <f t="shared" si="0"/>
        <v>0</v>
      </c>
    </row>
    <row r="33" spans="1:3" x14ac:dyDescent="0.3">
      <c r="A33" s="232">
        <f t="shared" si="1"/>
        <v>46231</v>
      </c>
      <c r="B33" s="73">
        <v>0</v>
      </c>
      <c r="C33" s="73">
        <f t="shared" si="0"/>
        <v>0</v>
      </c>
    </row>
    <row r="34" spans="1:3" x14ac:dyDescent="0.3">
      <c r="A34" s="232">
        <f t="shared" si="1"/>
        <v>46232</v>
      </c>
      <c r="B34" s="73">
        <v>0</v>
      </c>
      <c r="C34" s="73">
        <f t="shared" si="0"/>
        <v>0</v>
      </c>
    </row>
    <row r="35" spans="1:3" x14ac:dyDescent="0.3">
      <c r="A35" s="232">
        <f t="shared" si="1"/>
        <v>46233</v>
      </c>
      <c r="B35" s="73">
        <v>0</v>
      </c>
      <c r="C35" s="73">
        <f>SUM(B35:B35)</f>
        <v>0</v>
      </c>
    </row>
    <row r="36" spans="1:3" x14ac:dyDescent="0.3">
      <c r="A36" s="232">
        <f t="shared" si="1"/>
        <v>46234</v>
      </c>
      <c r="B36" s="73">
        <v>0</v>
      </c>
      <c r="C36" s="73">
        <f>SUM(B36:B36)</f>
        <v>0</v>
      </c>
    </row>
    <row r="37" spans="1:3" x14ac:dyDescent="0.3">
      <c r="A37" s="796"/>
      <c r="B37" s="796"/>
      <c r="C37" s="796"/>
    </row>
    <row r="38" spans="1:3" x14ac:dyDescent="0.3">
      <c r="A38" s="799" t="s">
        <v>43</v>
      </c>
      <c r="B38" s="799"/>
      <c r="C38" s="799"/>
    </row>
    <row r="39" spans="1:3" s="230" customFormat="1" ht="46.2" customHeight="1" x14ac:dyDescent="0.3">
      <c r="A39" s="86" t="s">
        <v>4</v>
      </c>
      <c r="B39" s="529" t="s">
        <v>322</v>
      </c>
      <c r="C39" s="229" t="s">
        <v>0</v>
      </c>
    </row>
    <row r="40" spans="1:3" s="105" customFormat="1" ht="27.6" x14ac:dyDescent="0.25">
      <c r="A40" s="316" t="s">
        <v>204</v>
      </c>
      <c r="B40" s="343">
        <f>10.52%+0.75%</f>
        <v>0.11269999999999999</v>
      </c>
      <c r="C40" s="233"/>
    </row>
    <row r="41" spans="1:3" x14ac:dyDescent="0.3">
      <c r="A41" s="232">
        <f t="shared" ref="A41:A71" si="2">+A6</f>
        <v>46204</v>
      </c>
      <c r="B41" s="73">
        <f t="shared" ref="B41:B71" si="3">IF(B6&lt;0,0,B6*B$40/365)</f>
        <v>0</v>
      </c>
      <c r="C41" s="73">
        <f t="shared" ref="C41:C69" si="4">SUM(B41:B41)</f>
        <v>0</v>
      </c>
    </row>
    <row r="42" spans="1:3" x14ac:dyDescent="0.3">
      <c r="A42" s="232">
        <f t="shared" si="2"/>
        <v>46205</v>
      </c>
      <c r="B42" s="73">
        <f t="shared" si="3"/>
        <v>0</v>
      </c>
      <c r="C42" s="73">
        <f t="shared" si="4"/>
        <v>0</v>
      </c>
    </row>
    <row r="43" spans="1:3" x14ac:dyDescent="0.3">
      <c r="A43" s="232">
        <f t="shared" si="2"/>
        <v>46206</v>
      </c>
      <c r="B43" s="73">
        <f t="shared" si="3"/>
        <v>0</v>
      </c>
      <c r="C43" s="73">
        <f t="shared" si="4"/>
        <v>0</v>
      </c>
    </row>
    <row r="44" spans="1:3" x14ac:dyDescent="0.3">
      <c r="A44" s="232">
        <f t="shared" si="2"/>
        <v>46207</v>
      </c>
      <c r="B44" s="73">
        <f t="shared" si="3"/>
        <v>0</v>
      </c>
      <c r="C44" s="73">
        <f t="shared" si="4"/>
        <v>0</v>
      </c>
    </row>
    <row r="45" spans="1:3" x14ac:dyDescent="0.3">
      <c r="A45" s="232">
        <f t="shared" si="2"/>
        <v>46208</v>
      </c>
      <c r="B45" s="73">
        <f t="shared" si="3"/>
        <v>0</v>
      </c>
      <c r="C45" s="73">
        <f t="shared" si="4"/>
        <v>0</v>
      </c>
    </row>
    <row r="46" spans="1:3" x14ac:dyDescent="0.3">
      <c r="A46" s="232">
        <f t="shared" si="2"/>
        <v>46209</v>
      </c>
      <c r="B46" s="73">
        <f t="shared" si="3"/>
        <v>0</v>
      </c>
      <c r="C46" s="73">
        <f t="shared" si="4"/>
        <v>0</v>
      </c>
    </row>
    <row r="47" spans="1:3" x14ac:dyDescent="0.3">
      <c r="A47" s="232">
        <f t="shared" si="2"/>
        <v>46210</v>
      </c>
      <c r="B47" s="73">
        <f t="shared" si="3"/>
        <v>0</v>
      </c>
      <c r="C47" s="73">
        <f t="shared" si="4"/>
        <v>0</v>
      </c>
    </row>
    <row r="48" spans="1:3" x14ac:dyDescent="0.3">
      <c r="A48" s="232">
        <f t="shared" si="2"/>
        <v>46211</v>
      </c>
      <c r="B48" s="73">
        <f t="shared" si="3"/>
        <v>0</v>
      </c>
      <c r="C48" s="73">
        <f t="shared" si="4"/>
        <v>0</v>
      </c>
    </row>
    <row r="49" spans="1:3" x14ac:dyDescent="0.3">
      <c r="A49" s="232">
        <f t="shared" si="2"/>
        <v>46212</v>
      </c>
      <c r="B49" s="73">
        <f t="shared" si="3"/>
        <v>0</v>
      </c>
      <c r="C49" s="73">
        <f t="shared" si="4"/>
        <v>0</v>
      </c>
    </row>
    <row r="50" spans="1:3" x14ac:dyDescent="0.3">
      <c r="A50" s="232">
        <f t="shared" si="2"/>
        <v>46213</v>
      </c>
      <c r="B50" s="73">
        <f t="shared" si="3"/>
        <v>0</v>
      </c>
      <c r="C50" s="73">
        <f t="shared" si="4"/>
        <v>0</v>
      </c>
    </row>
    <row r="51" spans="1:3" x14ac:dyDescent="0.3">
      <c r="A51" s="232">
        <f t="shared" si="2"/>
        <v>46214</v>
      </c>
      <c r="B51" s="73">
        <f t="shared" si="3"/>
        <v>0</v>
      </c>
      <c r="C51" s="73">
        <f t="shared" si="4"/>
        <v>0</v>
      </c>
    </row>
    <row r="52" spans="1:3" x14ac:dyDescent="0.3">
      <c r="A52" s="232">
        <f t="shared" si="2"/>
        <v>46215</v>
      </c>
      <c r="B52" s="73">
        <f t="shared" si="3"/>
        <v>0</v>
      </c>
      <c r="C52" s="73">
        <f t="shared" si="4"/>
        <v>0</v>
      </c>
    </row>
    <row r="53" spans="1:3" x14ac:dyDescent="0.3">
      <c r="A53" s="232">
        <f t="shared" si="2"/>
        <v>46216</v>
      </c>
      <c r="B53" s="73">
        <f t="shared" si="3"/>
        <v>0</v>
      </c>
      <c r="C53" s="73">
        <f t="shared" si="4"/>
        <v>0</v>
      </c>
    </row>
    <row r="54" spans="1:3" x14ac:dyDescent="0.3">
      <c r="A54" s="232">
        <f t="shared" si="2"/>
        <v>46217</v>
      </c>
      <c r="B54" s="73">
        <f t="shared" si="3"/>
        <v>0</v>
      </c>
      <c r="C54" s="73">
        <f t="shared" si="4"/>
        <v>0</v>
      </c>
    </row>
    <row r="55" spans="1:3" x14ac:dyDescent="0.3">
      <c r="A55" s="232">
        <f t="shared" si="2"/>
        <v>46218</v>
      </c>
      <c r="B55" s="73">
        <f t="shared" si="3"/>
        <v>0</v>
      </c>
      <c r="C55" s="73">
        <f t="shared" si="4"/>
        <v>0</v>
      </c>
    </row>
    <row r="56" spans="1:3" x14ac:dyDescent="0.3">
      <c r="A56" s="232">
        <f t="shared" si="2"/>
        <v>46219</v>
      </c>
      <c r="B56" s="73">
        <f t="shared" si="3"/>
        <v>0</v>
      </c>
      <c r="C56" s="73">
        <f t="shared" si="4"/>
        <v>0</v>
      </c>
    </row>
    <row r="57" spans="1:3" x14ac:dyDescent="0.3">
      <c r="A57" s="232">
        <f t="shared" si="2"/>
        <v>46220</v>
      </c>
      <c r="B57" s="73">
        <f t="shared" si="3"/>
        <v>0</v>
      </c>
      <c r="C57" s="73">
        <f t="shared" si="4"/>
        <v>0</v>
      </c>
    </row>
    <row r="58" spans="1:3" x14ac:dyDescent="0.3">
      <c r="A58" s="232">
        <f t="shared" si="2"/>
        <v>46221</v>
      </c>
      <c r="B58" s="73">
        <f t="shared" si="3"/>
        <v>0</v>
      </c>
      <c r="C58" s="73">
        <f t="shared" si="4"/>
        <v>0</v>
      </c>
    </row>
    <row r="59" spans="1:3" x14ac:dyDescent="0.3">
      <c r="A59" s="232">
        <f t="shared" si="2"/>
        <v>46222</v>
      </c>
      <c r="B59" s="73">
        <f t="shared" si="3"/>
        <v>0</v>
      </c>
      <c r="C59" s="73">
        <f t="shared" si="4"/>
        <v>0</v>
      </c>
    </row>
    <row r="60" spans="1:3" x14ac:dyDescent="0.3">
      <c r="A60" s="232">
        <f t="shared" si="2"/>
        <v>46223</v>
      </c>
      <c r="B60" s="73">
        <f t="shared" si="3"/>
        <v>0</v>
      </c>
      <c r="C60" s="73">
        <f t="shared" si="4"/>
        <v>0</v>
      </c>
    </row>
    <row r="61" spans="1:3" x14ac:dyDescent="0.3">
      <c r="A61" s="232">
        <f t="shared" si="2"/>
        <v>46224</v>
      </c>
      <c r="B61" s="73">
        <f t="shared" si="3"/>
        <v>0</v>
      </c>
      <c r="C61" s="73">
        <f t="shared" si="4"/>
        <v>0</v>
      </c>
    </row>
    <row r="62" spans="1:3" x14ac:dyDescent="0.3">
      <c r="A62" s="232">
        <f t="shared" si="2"/>
        <v>46225</v>
      </c>
      <c r="B62" s="73">
        <f t="shared" si="3"/>
        <v>0</v>
      </c>
      <c r="C62" s="73">
        <f t="shared" si="4"/>
        <v>0</v>
      </c>
    </row>
    <row r="63" spans="1:3" x14ac:dyDescent="0.3">
      <c r="A63" s="232">
        <f t="shared" si="2"/>
        <v>46226</v>
      </c>
      <c r="B63" s="73">
        <f t="shared" si="3"/>
        <v>0</v>
      </c>
      <c r="C63" s="73">
        <f t="shared" si="4"/>
        <v>0</v>
      </c>
    </row>
    <row r="64" spans="1:3" ht="14.4" customHeight="1" x14ac:dyDescent="0.3">
      <c r="A64" s="232">
        <f t="shared" si="2"/>
        <v>46227</v>
      </c>
      <c r="B64" s="73">
        <f t="shared" si="3"/>
        <v>0</v>
      </c>
      <c r="C64" s="73">
        <f t="shared" si="4"/>
        <v>0</v>
      </c>
    </row>
    <row r="65" spans="1:6" x14ac:dyDescent="0.3">
      <c r="A65" s="232">
        <f t="shared" si="2"/>
        <v>46228</v>
      </c>
      <c r="B65" s="73">
        <f t="shared" si="3"/>
        <v>0</v>
      </c>
      <c r="C65" s="73">
        <f t="shared" si="4"/>
        <v>0</v>
      </c>
    </row>
    <row r="66" spans="1:6" x14ac:dyDescent="0.3">
      <c r="A66" s="232">
        <f t="shared" si="2"/>
        <v>46229</v>
      </c>
      <c r="B66" s="73">
        <f t="shared" si="3"/>
        <v>0</v>
      </c>
      <c r="C66" s="73">
        <f t="shared" si="4"/>
        <v>0</v>
      </c>
    </row>
    <row r="67" spans="1:6" x14ac:dyDescent="0.3">
      <c r="A67" s="232">
        <f t="shared" si="2"/>
        <v>46230</v>
      </c>
      <c r="B67" s="73">
        <f t="shared" si="3"/>
        <v>0</v>
      </c>
      <c r="C67" s="73">
        <f t="shared" si="4"/>
        <v>0</v>
      </c>
    </row>
    <row r="68" spans="1:6" x14ac:dyDescent="0.3">
      <c r="A68" s="232">
        <f t="shared" si="2"/>
        <v>46231</v>
      </c>
      <c r="B68" s="73">
        <f t="shared" si="3"/>
        <v>0</v>
      </c>
      <c r="C68" s="73">
        <f t="shared" si="4"/>
        <v>0</v>
      </c>
    </row>
    <row r="69" spans="1:6" x14ac:dyDescent="0.3">
      <c r="A69" s="232">
        <f t="shared" si="2"/>
        <v>46232</v>
      </c>
      <c r="B69" s="73">
        <f t="shared" si="3"/>
        <v>0</v>
      </c>
      <c r="C69" s="73">
        <f t="shared" si="4"/>
        <v>0</v>
      </c>
    </row>
    <row r="70" spans="1:6" x14ac:dyDescent="0.3">
      <c r="A70" s="232">
        <f t="shared" si="2"/>
        <v>46233</v>
      </c>
      <c r="B70" s="73">
        <f t="shared" si="3"/>
        <v>0</v>
      </c>
      <c r="C70" s="73">
        <f>SUM(B70:B70)</f>
        <v>0</v>
      </c>
    </row>
    <row r="71" spans="1:6" x14ac:dyDescent="0.3">
      <c r="A71" s="232">
        <f t="shared" si="2"/>
        <v>46234</v>
      </c>
      <c r="B71" s="73">
        <f t="shared" si="3"/>
        <v>0</v>
      </c>
      <c r="C71" s="73">
        <f>SUM(B71:B71)</f>
        <v>0</v>
      </c>
    </row>
    <row r="72" spans="1:6" x14ac:dyDescent="0.3">
      <c r="A72" s="530" t="s">
        <v>18</v>
      </c>
      <c r="B72" s="234">
        <f>SUM(B41:B71)</f>
        <v>0</v>
      </c>
      <c r="C72" s="234">
        <f>SUM(C41:C71)</f>
        <v>0</v>
      </c>
    </row>
    <row r="73" spans="1:6" x14ac:dyDescent="0.3">
      <c r="A73" s="795"/>
      <c r="B73" s="795"/>
      <c r="C73" s="795"/>
    </row>
    <row r="74" spans="1:6" x14ac:dyDescent="0.3">
      <c r="A74" s="799" t="s">
        <v>46</v>
      </c>
      <c r="B74" s="799"/>
      <c r="C74" s="799"/>
    </row>
    <row r="75" spans="1:6" s="230" customFormat="1" ht="41.4" x14ac:dyDescent="0.3">
      <c r="A75" s="86" t="s">
        <v>22</v>
      </c>
      <c r="B75" s="688" t="s">
        <v>321</v>
      </c>
      <c r="C75" s="229" t="s">
        <v>0</v>
      </c>
    </row>
    <row r="76" spans="1:6" x14ac:dyDescent="0.3">
      <c r="A76" s="235" t="s">
        <v>19</v>
      </c>
      <c r="B76" s="158">
        <v>0</v>
      </c>
      <c r="C76" s="687">
        <f>SUM(B76:B76)</f>
        <v>0</v>
      </c>
      <c r="D76" s="189"/>
    </row>
    <row r="77" spans="1:6" x14ac:dyDescent="0.3">
      <c r="A77" s="235" t="s">
        <v>20</v>
      </c>
      <c r="B77" s="78">
        <f>B72</f>
        <v>0</v>
      </c>
      <c r="C77" s="683">
        <f>SUM(B77:B77)</f>
        <v>0</v>
      </c>
    </row>
    <row r="78" spans="1:6" s="64" customFormat="1" x14ac:dyDescent="0.3">
      <c r="A78" s="448" t="s">
        <v>29</v>
      </c>
      <c r="B78" s="213"/>
      <c r="C78" s="165">
        <f>SUM(B78:B78)</f>
        <v>0</v>
      </c>
    </row>
    <row r="79" spans="1:6" x14ac:dyDescent="0.3">
      <c r="A79" s="235" t="s">
        <v>18</v>
      </c>
      <c r="B79" s="73">
        <f>SUM(B76:B78)</f>
        <v>0</v>
      </c>
      <c r="C79" s="454">
        <f>SUM(B79:B79)</f>
        <v>0</v>
      </c>
    </row>
    <row r="80" spans="1:6" x14ac:dyDescent="0.3">
      <c r="A80" s="805"/>
      <c r="B80" s="805"/>
      <c r="C80" s="805"/>
      <c r="F80" s="312"/>
    </row>
    <row r="81" spans="1:6" x14ac:dyDescent="0.3">
      <c r="A81" s="236" t="s">
        <v>32</v>
      </c>
      <c r="B81" s="158">
        <v>0</v>
      </c>
      <c r="C81" s="165">
        <f>SUM(B81:B81)</f>
        <v>0</v>
      </c>
      <c r="D81" s="237"/>
      <c r="F81" s="312"/>
    </row>
    <row r="82" spans="1:6" x14ac:dyDescent="0.3">
      <c r="A82" s="795"/>
      <c r="B82" s="795"/>
      <c r="C82" s="795"/>
    </row>
    <row r="83" spans="1:6" x14ac:dyDescent="0.3">
      <c r="A83" s="236" t="s">
        <v>11</v>
      </c>
      <c r="B83" s="449">
        <v>0</v>
      </c>
      <c r="C83" s="450">
        <f>SUM(B83:B83)</f>
        <v>0</v>
      </c>
    </row>
    <row r="84" spans="1:6" x14ac:dyDescent="0.3">
      <c r="A84" s="795"/>
      <c r="B84" s="795"/>
      <c r="C84" s="795"/>
    </row>
    <row r="85" spans="1:6" x14ac:dyDescent="0.3">
      <c r="A85" s="238" t="s">
        <v>21</v>
      </c>
      <c r="B85" s="79">
        <f>B72+B83+B78</f>
        <v>0</v>
      </c>
      <c r="C85" s="79">
        <f>SUM(B85:B85)</f>
        <v>0</v>
      </c>
    </row>
    <row r="86" spans="1:6" x14ac:dyDescent="0.3">
      <c r="A86" s="795"/>
      <c r="B86" s="795"/>
      <c r="C86" s="795"/>
    </row>
    <row r="87" spans="1:6" x14ac:dyDescent="0.3">
      <c r="A87" s="239" t="s">
        <v>33</v>
      </c>
      <c r="B87" s="240">
        <f>B79+B83-B81</f>
        <v>0</v>
      </c>
      <c r="C87" s="240">
        <f>SUM(B87:B87)</f>
        <v>0</v>
      </c>
    </row>
    <row r="91" spans="1:6" x14ac:dyDescent="0.3">
      <c r="B91" s="499"/>
    </row>
  </sheetData>
  <mergeCells count="11">
    <mergeCell ref="A74:C74"/>
    <mergeCell ref="A80:C80"/>
    <mergeCell ref="A82:C82"/>
    <mergeCell ref="A84:C84"/>
    <mergeCell ref="A86:C86"/>
    <mergeCell ref="A1:C1"/>
    <mergeCell ref="A3:C3"/>
    <mergeCell ref="A4:C4"/>
    <mergeCell ref="A37:C37"/>
    <mergeCell ref="A38:C38"/>
    <mergeCell ref="A73:C73"/>
  </mergeCells>
  <phoneticPr fontId="30" type="noConversion"/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FB89-0FC6-4E02-A127-749BA57DDBA9}">
  <sheetPr>
    <pageSetUpPr fitToPage="1"/>
  </sheetPr>
  <dimension ref="A1:M49"/>
  <sheetViews>
    <sheetView showGridLines="0" zoomScaleNormal="100" zoomScaleSheetLayoutView="100" workbookViewId="0">
      <selection activeCell="B15" sqref="B15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8.7265625" style="123" customWidth="1"/>
    <col min="5" max="5" width="12" style="123" customWidth="1"/>
    <col min="6" max="6" width="2.36328125" style="2" customWidth="1"/>
    <col min="7" max="7" width="7.90625" style="2" customWidth="1"/>
    <col min="8" max="8" width="8.81640625" style="64" customWidth="1"/>
    <col min="9" max="9" width="6.90625" style="2" customWidth="1"/>
    <col min="10" max="10" width="11.08984375" style="2" customWidth="1"/>
    <col min="11" max="11" width="12.7265625" style="2" bestFit="1" customWidth="1"/>
    <col min="12" max="12" width="10.6328125" style="2"/>
    <col min="13" max="13" width="11.81640625" style="2" bestFit="1" customWidth="1"/>
    <col min="14" max="16384" width="10.6328125" style="2"/>
  </cols>
  <sheetData>
    <row r="1" spans="1:13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3" ht="18.600000000000001" thickBot="1" x14ac:dyDescent="0.4">
      <c r="A2" s="789" t="s">
        <v>114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3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443">
        <v>99444293.859999999</v>
      </c>
    </row>
    <row r="4" spans="1:13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806" t="s">
        <v>205</v>
      </c>
      <c r="I4" s="245" t="s">
        <v>161</v>
      </c>
      <c r="J4" s="246" t="s">
        <v>162</v>
      </c>
    </row>
    <row r="5" spans="1:13" x14ac:dyDescent="0.3">
      <c r="A5" s="792"/>
      <c r="B5" s="326" t="s">
        <v>1</v>
      </c>
      <c r="C5" s="247" t="s">
        <v>12</v>
      </c>
      <c r="D5" s="247" t="s">
        <v>13</v>
      </c>
      <c r="E5" s="247" t="s">
        <v>163</v>
      </c>
      <c r="G5" s="248" t="s">
        <v>164</v>
      </c>
      <c r="H5" s="807"/>
      <c r="I5" s="249" t="s">
        <v>165</v>
      </c>
      <c r="J5" s="250" t="s">
        <v>166</v>
      </c>
    </row>
    <row r="6" spans="1:13" x14ac:dyDescent="0.3">
      <c r="A6" s="324">
        <v>46204</v>
      </c>
      <c r="B6" s="443">
        <f>-'[4]01 July'!$H$15</f>
        <v>99444293.859999999</v>
      </c>
      <c r="C6" s="325"/>
      <c r="D6" s="251"/>
      <c r="E6" s="73">
        <f>SUM(B6:D6)</f>
        <v>99444293.859999999</v>
      </c>
      <c r="G6" s="252">
        <v>1.2500000000000001E-2</v>
      </c>
      <c r="H6" s="497">
        <v>0.1149</v>
      </c>
      <c r="I6" s="254">
        <f>+H6+G6</f>
        <v>0.12740000000000001</v>
      </c>
      <c r="J6" s="255">
        <f>IF(E6&lt;0,0,E6*I6/365)</f>
        <v>34710.145308942469</v>
      </c>
      <c r="K6" s="1">
        <f>+E6-K3</f>
        <v>0</v>
      </c>
    </row>
    <row r="7" spans="1:13" x14ac:dyDescent="0.3">
      <c r="A7" s="324">
        <f>+A6+1</f>
        <v>46205</v>
      </c>
      <c r="B7" s="443">
        <f>-'[4]02 July'!$H$15</f>
        <v>1944293.8599999994</v>
      </c>
      <c r="C7" s="325"/>
      <c r="D7" s="251"/>
      <c r="E7" s="73">
        <f t="shared" ref="E7:E13" si="0">SUM(B7:D7)</f>
        <v>1944293.8599999994</v>
      </c>
      <c r="G7" s="256">
        <f>+G6</f>
        <v>1.2500000000000001E-2</v>
      </c>
      <c r="H7" s="497">
        <v>0.1149</v>
      </c>
      <c r="I7" s="254">
        <f>+H7+G7</f>
        <v>0.12740000000000001</v>
      </c>
      <c r="J7" s="255">
        <f t="shared" ref="J7:J32" si="1">IF(E7&lt;0,0,E7*I7/365)</f>
        <v>678.63845962739708</v>
      </c>
      <c r="K7" s="1">
        <f>+E7-E6</f>
        <v>-97500000</v>
      </c>
    </row>
    <row r="8" spans="1:13" x14ac:dyDescent="0.3">
      <c r="A8" s="324">
        <f t="shared" ref="A8:A36" si="2">+A7+1</f>
        <v>46206</v>
      </c>
      <c r="B8" s="443">
        <f>-'[4]03 July'!$H$15</f>
        <v>1500715.8599999994</v>
      </c>
      <c r="C8" s="325"/>
      <c r="D8" s="251"/>
      <c r="E8" s="73">
        <f t="shared" si="0"/>
        <v>1500715.8599999994</v>
      </c>
      <c r="G8" s="256">
        <f t="shared" ref="G8:G36" si="3">+G7</f>
        <v>1.2500000000000001E-2</v>
      </c>
      <c r="H8" s="497">
        <v>0.1149</v>
      </c>
      <c r="I8" s="254">
        <f t="shared" ref="I8:I32" si="4">+H8+G8</f>
        <v>0.12740000000000001</v>
      </c>
      <c r="J8" s="255">
        <f t="shared" si="1"/>
        <v>523.81150839452039</v>
      </c>
      <c r="K8" s="1">
        <f t="shared" ref="K8:K32" si="5">+E8-E7</f>
        <v>-443578</v>
      </c>
      <c r="M8" s="312"/>
    </row>
    <row r="9" spans="1:13" x14ac:dyDescent="0.3">
      <c r="A9" s="324">
        <f t="shared" si="2"/>
        <v>46207</v>
      </c>
      <c r="B9" s="443">
        <f>-'[4]03 July'!$H$15</f>
        <v>1500715.8599999994</v>
      </c>
      <c r="C9" s="325"/>
      <c r="D9" s="251"/>
      <c r="E9" s="73">
        <f t="shared" si="0"/>
        <v>1500715.8599999994</v>
      </c>
      <c r="G9" s="256">
        <f t="shared" si="3"/>
        <v>1.2500000000000001E-2</v>
      </c>
      <c r="H9" s="497">
        <v>0.1149</v>
      </c>
      <c r="I9" s="254">
        <f t="shared" si="4"/>
        <v>0.12740000000000001</v>
      </c>
      <c r="J9" s="255">
        <f t="shared" si="1"/>
        <v>523.81150839452039</v>
      </c>
      <c r="K9" s="1">
        <f t="shared" si="5"/>
        <v>0</v>
      </c>
    </row>
    <row r="10" spans="1:13" x14ac:dyDescent="0.3">
      <c r="A10" s="232">
        <f t="shared" si="2"/>
        <v>46208</v>
      </c>
      <c r="B10" s="443">
        <f>-'[4]03 July'!$H$15</f>
        <v>1500715.8599999994</v>
      </c>
      <c r="C10" s="73"/>
      <c r="D10" s="73"/>
      <c r="E10" s="73">
        <f t="shared" si="0"/>
        <v>1500715.8599999994</v>
      </c>
      <c r="G10" s="256">
        <f t="shared" si="3"/>
        <v>1.2500000000000001E-2</v>
      </c>
      <c r="H10" s="497">
        <v>0.1149</v>
      </c>
      <c r="I10" s="254">
        <f t="shared" si="4"/>
        <v>0.12740000000000001</v>
      </c>
      <c r="J10" s="255">
        <f t="shared" si="1"/>
        <v>523.81150839452039</v>
      </c>
      <c r="K10" s="1">
        <f t="shared" si="5"/>
        <v>0</v>
      </c>
    </row>
    <row r="11" spans="1:13" x14ac:dyDescent="0.3">
      <c r="A11" s="232">
        <f t="shared" si="2"/>
        <v>46209</v>
      </c>
      <c r="B11" s="443">
        <f>-'[4]06 July'!$H$15</f>
        <v>2000715.8599999994</v>
      </c>
      <c r="C11" s="73"/>
      <c r="D11" s="73"/>
      <c r="E11" s="73">
        <f t="shared" si="0"/>
        <v>2000715.8599999994</v>
      </c>
      <c r="G11" s="256">
        <f t="shared" si="3"/>
        <v>1.2500000000000001E-2</v>
      </c>
      <c r="H11" s="497">
        <v>0.1149</v>
      </c>
      <c r="I11" s="254">
        <f t="shared" si="4"/>
        <v>0.12740000000000001</v>
      </c>
      <c r="J11" s="255">
        <f t="shared" si="1"/>
        <v>698.33205633972591</v>
      </c>
      <c r="K11" s="1">
        <f t="shared" si="5"/>
        <v>500000</v>
      </c>
    </row>
    <row r="12" spans="1:13" x14ac:dyDescent="0.3">
      <c r="A12" s="232">
        <f t="shared" si="2"/>
        <v>46210</v>
      </c>
      <c r="B12" s="443">
        <f>-'[4]07 July'!$H$15</f>
        <v>47000715.859999999</v>
      </c>
      <c r="C12" s="73"/>
      <c r="D12" s="73"/>
      <c r="E12" s="73">
        <f t="shared" si="0"/>
        <v>47000715.859999999</v>
      </c>
      <c r="G12" s="256">
        <f t="shared" si="3"/>
        <v>1.2500000000000001E-2</v>
      </c>
      <c r="H12" s="497">
        <v>0.1149</v>
      </c>
      <c r="I12" s="254">
        <f t="shared" si="4"/>
        <v>0.12740000000000001</v>
      </c>
      <c r="J12" s="255">
        <f t="shared" si="1"/>
        <v>16405.18137140822</v>
      </c>
      <c r="K12" s="1">
        <f t="shared" si="5"/>
        <v>45000000</v>
      </c>
    </row>
    <row r="13" spans="1:13" x14ac:dyDescent="0.3">
      <c r="A13" s="232">
        <f t="shared" si="2"/>
        <v>46211</v>
      </c>
      <c r="B13" s="443">
        <f>-'[4]08 July'!$H$15</f>
        <v>48869845.859999999</v>
      </c>
      <c r="C13" s="73"/>
      <c r="D13" s="73"/>
      <c r="E13" s="73">
        <f t="shared" si="0"/>
        <v>48869845.859999999</v>
      </c>
      <c r="G13" s="256">
        <f t="shared" si="3"/>
        <v>1.2500000000000001E-2</v>
      </c>
      <c r="H13" s="497">
        <v>0.1149</v>
      </c>
      <c r="I13" s="254">
        <f t="shared" si="4"/>
        <v>0.12740000000000001</v>
      </c>
      <c r="J13" s="255">
        <f t="shared" si="1"/>
        <v>17057.584554969864</v>
      </c>
      <c r="K13" s="1">
        <f t="shared" si="5"/>
        <v>1869130</v>
      </c>
    </row>
    <row r="14" spans="1:13" x14ac:dyDescent="0.3">
      <c r="A14" s="232">
        <f t="shared" si="2"/>
        <v>46212</v>
      </c>
      <c r="B14" s="443">
        <f>-'[4]09 July'!$H$15</f>
        <v>47715526.859999999</v>
      </c>
      <c r="C14" s="73"/>
      <c r="D14" s="73"/>
      <c r="E14" s="73">
        <f>SUM(B14:D14)</f>
        <v>47715526.859999999</v>
      </c>
      <c r="G14" s="256">
        <f t="shared" si="3"/>
        <v>1.2500000000000001E-2</v>
      </c>
      <c r="H14" s="497">
        <v>0.1149</v>
      </c>
      <c r="I14" s="254">
        <f t="shared" si="4"/>
        <v>0.12740000000000001</v>
      </c>
      <c r="J14" s="255">
        <f t="shared" si="1"/>
        <v>16654.679786202742</v>
      </c>
      <c r="K14" s="1">
        <f t="shared" si="5"/>
        <v>-1154319</v>
      </c>
    </row>
    <row r="15" spans="1:13" x14ac:dyDescent="0.3">
      <c r="A15" s="232">
        <f t="shared" si="2"/>
        <v>46213</v>
      </c>
      <c r="B15" s="443">
        <f t="shared" ref="B15:B34" si="6">B14</f>
        <v>47715526.859999999</v>
      </c>
      <c r="C15" s="73"/>
      <c r="D15" s="73"/>
      <c r="E15" s="73">
        <f t="shared" ref="E15:E32" si="7">SUM(B15:D15)</f>
        <v>47715526.859999999</v>
      </c>
      <c r="G15" s="256">
        <f t="shared" si="3"/>
        <v>1.2500000000000001E-2</v>
      </c>
      <c r="H15" s="497">
        <v>0.1149</v>
      </c>
      <c r="I15" s="254">
        <f t="shared" si="4"/>
        <v>0.12740000000000001</v>
      </c>
      <c r="J15" s="255">
        <f t="shared" si="1"/>
        <v>16654.679786202742</v>
      </c>
      <c r="K15" s="1">
        <f t="shared" si="5"/>
        <v>0</v>
      </c>
    </row>
    <row r="16" spans="1:13" s="359" customFormat="1" x14ac:dyDescent="0.3">
      <c r="A16" s="357">
        <f t="shared" si="2"/>
        <v>46214</v>
      </c>
      <c r="B16" s="443">
        <f t="shared" si="6"/>
        <v>47715526.859999999</v>
      </c>
      <c r="C16" s="73"/>
      <c r="D16" s="73"/>
      <c r="E16" s="73">
        <f t="shared" si="7"/>
        <v>47715526.859999999</v>
      </c>
      <c r="G16" s="360">
        <f t="shared" si="3"/>
        <v>1.2500000000000001E-2</v>
      </c>
      <c r="H16" s="497">
        <v>0.1149</v>
      </c>
      <c r="I16" s="361">
        <f t="shared" si="4"/>
        <v>0.12740000000000001</v>
      </c>
      <c r="J16" s="255">
        <f t="shared" si="1"/>
        <v>16654.679786202742</v>
      </c>
      <c r="K16" s="439">
        <f t="shared" si="5"/>
        <v>0</v>
      </c>
    </row>
    <row r="17" spans="1:13" s="359" customFormat="1" x14ac:dyDescent="0.3">
      <c r="A17" s="357">
        <f t="shared" si="2"/>
        <v>46215</v>
      </c>
      <c r="B17" s="443">
        <f t="shared" si="6"/>
        <v>47715526.859999999</v>
      </c>
      <c r="C17" s="73"/>
      <c r="D17" s="73"/>
      <c r="E17" s="73">
        <f t="shared" si="7"/>
        <v>47715526.859999999</v>
      </c>
      <c r="G17" s="360">
        <f t="shared" si="3"/>
        <v>1.2500000000000001E-2</v>
      </c>
      <c r="H17" s="497">
        <v>0.1149</v>
      </c>
      <c r="I17" s="361">
        <f t="shared" si="4"/>
        <v>0.12740000000000001</v>
      </c>
      <c r="J17" s="255">
        <f t="shared" si="1"/>
        <v>16654.679786202742</v>
      </c>
      <c r="K17" s="439">
        <f t="shared" si="5"/>
        <v>0</v>
      </c>
    </row>
    <row r="18" spans="1:13" s="359" customFormat="1" x14ac:dyDescent="0.3">
      <c r="A18" s="357">
        <f t="shared" si="2"/>
        <v>46216</v>
      </c>
      <c r="B18" s="443">
        <f t="shared" si="6"/>
        <v>47715526.859999999</v>
      </c>
      <c r="C18" s="73"/>
      <c r="D18" s="73"/>
      <c r="E18" s="73">
        <f t="shared" si="7"/>
        <v>47715526.859999999</v>
      </c>
      <c r="G18" s="360">
        <f t="shared" si="3"/>
        <v>1.2500000000000001E-2</v>
      </c>
      <c r="H18" s="497">
        <v>0.1149</v>
      </c>
      <c r="I18" s="361">
        <f t="shared" si="4"/>
        <v>0.12740000000000001</v>
      </c>
      <c r="J18" s="255">
        <f t="shared" si="1"/>
        <v>16654.679786202742</v>
      </c>
      <c r="K18" s="439">
        <f t="shared" si="5"/>
        <v>0</v>
      </c>
    </row>
    <row r="19" spans="1:13" x14ac:dyDescent="0.3">
      <c r="A19" s="232">
        <f t="shared" si="2"/>
        <v>46217</v>
      </c>
      <c r="B19" s="443">
        <f t="shared" si="6"/>
        <v>47715526.859999999</v>
      </c>
      <c r="C19" s="73"/>
      <c r="D19" s="73"/>
      <c r="E19" s="73">
        <f t="shared" si="7"/>
        <v>47715526.859999999</v>
      </c>
      <c r="G19" s="256">
        <f t="shared" si="3"/>
        <v>1.2500000000000001E-2</v>
      </c>
      <c r="H19" s="497">
        <v>0.1149</v>
      </c>
      <c r="I19" s="254">
        <f t="shared" si="4"/>
        <v>0.12740000000000001</v>
      </c>
      <c r="J19" s="255">
        <f t="shared" si="1"/>
        <v>16654.679786202742</v>
      </c>
      <c r="K19" s="1">
        <f t="shared" si="5"/>
        <v>0</v>
      </c>
    </row>
    <row r="20" spans="1:13" x14ac:dyDescent="0.3">
      <c r="A20" s="232">
        <f t="shared" si="2"/>
        <v>46218</v>
      </c>
      <c r="B20" s="443">
        <f t="shared" si="6"/>
        <v>47715526.859999999</v>
      </c>
      <c r="C20" s="73"/>
      <c r="D20" s="73"/>
      <c r="E20" s="73">
        <f t="shared" si="7"/>
        <v>47715526.859999999</v>
      </c>
      <c r="G20" s="256">
        <f t="shared" si="3"/>
        <v>1.2500000000000001E-2</v>
      </c>
      <c r="H20" s="497">
        <v>0.1149</v>
      </c>
      <c r="I20" s="254">
        <f t="shared" si="4"/>
        <v>0.12740000000000001</v>
      </c>
      <c r="J20" s="255">
        <f t="shared" si="1"/>
        <v>16654.679786202742</v>
      </c>
      <c r="K20" s="1">
        <f t="shared" si="5"/>
        <v>0</v>
      </c>
      <c r="M20" s="312"/>
    </row>
    <row r="21" spans="1:13" x14ac:dyDescent="0.3">
      <c r="A21" s="232">
        <f t="shared" si="2"/>
        <v>46219</v>
      </c>
      <c r="B21" s="443">
        <f t="shared" si="6"/>
        <v>47715526.859999999</v>
      </c>
      <c r="C21" s="73"/>
      <c r="D21" s="73"/>
      <c r="E21" s="73">
        <f t="shared" si="7"/>
        <v>47715526.859999999</v>
      </c>
      <c r="G21" s="256">
        <f t="shared" si="3"/>
        <v>1.2500000000000001E-2</v>
      </c>
      <c r="H21" s="497">
        <v>0.1149</v>
      </c>
      <c r="I21" s="254">
        <f t="shared" si="4"/>
        <v>0.12740000000000001</v>
      </c>
      <c r="J21" s="255">
        <f t="shared" si="1"/>
        <v>16654.679786202742</v>
      </c>
      <c r="K21" s="1">
        <f t="shared" si="5"/>
        <v>0</v>
      </c>
    </row>
    <row r="22" spans="1:13" x14ac:dyDescent="0.3">
      <c r="A22" s="232">
        <f t="shared" si="2"/>
        <v>46220</v>
      </c>
      <c r="B22" s="443">
        <f t="shared" si="6"/>
        <v>47715526.859999999</v>
      </c>
      <c r="C22" s="73"/>
      <c r="D22" s="73"/>
      <c r="E22" s="73">
        <f t="shared" si="7"/>
        <v>47715526.859999999</v>
      </c>
      <c r="G22" s="256">
        <f t="shared" si="3"/>
        <v>1.2500000000000001E-2</v>
      </c>
      <c r="H22" s="497">
        <v>0.1149</v>
      </c>
      <c r="I22" s="254">
        <f t="shared" si="4"/>
        <v>0.12740000000000001</v>
      </c>
      <c r="J22" s="255">
        <f t="shared" si="1"/>
        <v>16654.679786202742</v>
      </c>
      <c r="K22" s="1">
        <f t="shared" si="5"/>
        <v>0</v>
      </c>
    </row>
    <row r="23" spans="1:13" x14ac:dyDescent="0.3">
      <c r="A23" s="232">
        <f t="shared" si="2"/>
        <v>46221</v>
      </c>
      <c r="B23" s="443">
        <f t="shared" si="6"/>
        <v>47715526.859999999</v>
      </c>
      <c r="C23" s="73"/>
      <c r="D23" s="73"/>
      <c r="E23" s="73">
        <f t="shared" si="7"/>
        <v>47715526.859999999</v>
      </c>
      <c r="G23" s="256">
        <f t="shared" si="3"/>
        <v>1.2500000000000001E-2</v>
      </c>
      <c r="H23" s="497">
        <v>0.1149</v>
      </c>
      <c r="I23" s="254">
        <f t="shared" si="4"/>
        <v>0.12740000000000001</v>
      </c>
      <c r="J23" s="255">
        <f t="shared" si="1"/>
        <v>16654.679786202742</v>
      </c>
      <c r="K23" s="1">
        <f t="shared" si="5"/>
        <v>0</v>
      </c>
    </row>
    <row r="24" spans="1:13" x14ac:dyDescent="0.3">
      <c r="A24" s="232">
        <f t="shared" si="2"/>
        <v>46222</v>
      </c>
      <c r="B24" s="443">
        <f t="shared" si="6"/>
        <v>47715526.859999999</v>
      </c>
      <c r="C24" s="73"/>
      <c r="D24" s="73"/>
      <c r="E24" s="73">
        <f t="shared" si="7"/>
        <v>47715526.859999999</v>
      </c>
      <c r="G24" s="256">
        <f t="shared" si="3"/>
        <v>1.2500000000000001E-2</v>
      </c>
      <c r="H24" s="497">
        <v>0.1149</v>
      </c>
      <c r="I24" s="254">
        <f t="shared" si="4"/>
        <v>0.12740000000000001</v>
      </c>
      <c r="J24" s="255">
        <f t="shared" si="1"/>
        <v>16654.679786202742</v>
      </c>
      <c r="K24" s="1">
        <f t="shared" si="5"/>
        <v>0</v>
      </c>
    </row>
    <row r="25" spans="1:13" x14ac:dyDescent="0.3">
      <c r="A25" s="232">
        <f t="shared" si="2"/>
        <v>46223</v>
      </c>
      <c r="B25" s="443">
        <f t="shared" si="6"/>
        <v>47715526.859999999</v>
      </c>
      <c r="C25" s="73"/>
      <c r="D25" s="73"/>
      <c r="E25" s="73">
        <f t="shared" si="7"/>
        <v>47715526.859999999</v>
      </c>
      <c r="G25" s="256">
        <f t="shared" si="3"/>
        <v>1.2500000000000001E-2</v>
      </c>
      <c r="H25" s="497">
        <v>0.1149</v>
      </c>
      <c r="I25" s="254">
        <f t="shared" si="4"/>
        <v>0.12740000000000001</v>
      </c>
      <c r="J25" s="255">
        <f t="shared" si="1"/>
        <v>16654.679786202742</v>
      </c>
      <c r="K25" s="1">
        <f t="shared" si="5"/>
        <v>0</v>
      </c>
    </row>
    <row r="26" spans="1:13" x14ac:dyDescent="0.3">
      <c r="A26" s="232">
        <f t="shared" si="2"/>
        <v>46224</v>
      </c>
      <c r="B26" s="443">
        <f t="shared" si="6"/>
        <v>47715526.859999999</v>
      </c>
      <c r="C26" s="73"/>
      <c r="D26" s="73"/>
      <c r="E26" s="73">
        <f t="shared" si="7"/>
        <v>47715526.859999999</v>
      </c>
      <c r="G26" s="256">
        <f t="shared" si="3"/>
        <v>1.2500000000000001E-2</v>
      </c>
      <c r="H26" s="497">
        <v>0.1149</v>
      </c>
      <c r="I26" s="254">
        <f t="shared" si="4"/>
        <v>0.12740000000000001</v>
      </c>
      <c r="J26" s="255">
        <f t="shared" si="1"/>
        <v>16654.679786202742</v>
      </c>
      <c r="K26" s="1">
        <f t="shared" si="5"/>
        <v>0</v>
      </c>
    </row>
    <row r="27" spans="1:13" x14ac:dyDescent="0.3">
      <c r="A27" s="232">
        <f t="shared" si="2"/>
        <v>46225</v>
      </c>
      <c r="B27" s="443">
        <f t="shared" si="6"/>
        <v>47715526.859999999</v>
      </c>
      <c r="C27" s="73"/>
      <c r="D27" s="73"/>
      <c r="E27" s="73">
        <f t="shared" si="7"/>
        <v>47715526.859999999</v>
      </c>
      <c r="G27" s="256">
        <f t="shared" si="3"/>
        <v>1.2500000000000001E-2</v>
      </c>
      <c r="H27" s="497">
        <v>0.1149</v>
      </c>
      <c r="I27" s="254">
        <f t="shared" si="4"/>
        <v>0.12740000000000001</v>
      </c>
      <c r="J27" s="255">
        <f t="shared" si="1"/>
        <v>16654.679786202742</v>
      </c>
      <c r="K27" s="1">
        <f t="shared" si="5"/>
        <v>0</v>
      </c>
    </row>
    <row r="28" spans="1:13" x14ac:dyDescent="0.3">
      <c r="A28" s="232">
        <f>+A27+1</f>
        <v>46226</v>
      </c>
      <c r="B28" s="443">
        <f t="shared" si="6"/>
        <v>47715526.859999999</v>
      </c>
      <c r="C28" s="73"/>
      <c r="D28" s="73"/>
      <c r="E28" s="73">
        <f t="shared" si="7"/>
        <v>47715526.859999999</v>
      </c>
      <c r="G28" s="256">
        <f>+G27</f>
        <v>1.2500000000000001E-2</v>
      </c>
      <c r="H28" s="497">
        <v>0.1149</v>
      </c>
      <c r="I28" s="254">
        <f t="shared" si="4"/>
        <v>0.12740000000000001</v>
      </c>
      <c r="J28" s="255">
        <f t="shared" si="1"/>
        <v>16654.679786202742</v>
      </c>
      <c r="K28" s="1">
        <f>+E28-E27</f>
        <v>0</v>
      </c>
    </row>
    <row r="29" spans="1:13" x14ac:dyDescent="0.3">
      <c r="A29" s="232">
        <f t="shared" si="2"/>
        <v>46227</v>
      </c>
      <c r="B29" s="443">
        <f t="shared" si="6"/>
        <v>47715526.859999999</v>
      </c>
      <c r="C29" s="73"/>
      <c r="D29" s="73"/>
      <c r="E29" s="73">
        <f t="shared" si="7"/>
        <v>47715526.859999999</v>
      </c>
      <c r="G29" s="256">
        <f t="shared" si="3"/>
        <v>1.2500000000000001E-2</v>
      </c>
      <c r="H29" s="497">
        <v>0.1149</v>
      </c>
      <c r="I29" s="254">
        <f t="shared" si="4"/>
        <v>0.12740000000000001</v>
      </c>
      <c r="J29" s="255">
        <f t="shared" si="1"/>
        <v>16654.679786202742</v>
      </c>
      <c r="K29" s="1">
        <f t="shared" si="5"/>
        <v>0</v>
      </c>
    </row>
    <row r="30" spans="1:13" x14ac:dyDescent="0.3">
      <c r="A30" s="232">
        <f t="shared" si="2"/>
        <v>46228</v>
      </c>
      <c r="B30" s="443">
        <f t="shared" si="6"/>
        <v>47715526.859999999</v>
      </c>
      <c r="C30" s="73"/>
      <c r="D30" s="73"/>
      <c r="E30" s="73">
        <f t="shared" si="7"/>
        <v>47715526.859999999</v>
      </c>
      <c r="G30" s="256">
        <f t="shared" si="3"/>
        <v>1.2500000000000001E-2</v>
      </c>
      <c r="H30" s="497">
        <v>0.1149</v>
      </c>
      <c r="I30" s="254">
        <f t="shared" si="4"/>
        <v>0.12740000000000001</v>
      </c>
      <c r="J30" s="255">
        <f t="shared" si="1"/>
        <v>16654.679786202742</v>
      </c>
      <c r="K30" s="1">
        <f t="shared" si="5"/>
        <v>0</v>
      </c>
    </row>
    <row r="31" spans="1:13" x14ac:dyDescent="0.3">
      <c r="A31" s="232">
        <f t="shared" si="2"/>
        <v>46229</v>
      </c>
      <c r="B31" s="443">
        <f t="shared" si="6"/>
        <v>47715526.859999999</v>
      </c>
      <c r="C31" s="73"/>
      <c r="D31" s="73"/>
      <c r="E31" s="73">
        <f t="shared" si="7"/>
        <v>47715526.859999999</v>
      </c>
      <c r="G31" s="256">
        <f t="shared" si="3"/>
        <v>1.2500000000000001E-2</v>
      </c>
      <c r="H31" s="497">
        <v>0.1149</v>
      </c>
      <c r="I31" s="254">
        <f t="shared" si="4"/>
        <v>0.12740000000000001</v>
      </c>
      <c r="J31" s="255">
        <f t="shared" si="1"/>
        <v>16654.679786202742</v>
      </c>
      <c r="K31" s="1">
        <f t="shared" si="5"/>
        <v>0</v>
      </c>
    </row>
    <row r="32" spans="1:13" x14ac:dyDescent="0.3">
      <c r="A32" s="232">
        <f t="shared" si="2"/>
        <v>46230</v>
      </c>
      <c r="B32" s="443">
        <f t="shared" si="6"/>
        <v>47715526.859999999</v>
      </c>
      <c r="C32" s="73"/>
      <c r="D32" s="73"/>
      <c r="E32" s="73">
        <f t="shared" si="7"/>
        <v>47715526.859999999</v>
      </c>
      <c r="G32" s="256">
        <f t="shared" si="3"/>
        <v>1.2500000000000001E-2</v>
      </c>
      <c r="H32" s="497">
        <v>0.1149</v>
      </c>
      <c r="I32" s="254">
        <f t="shared" si="4"/>
        <v>0.12740000000000001</v>
      </c>
      <c r="J32" s="255">
        <f t="shared" si="1"/>
        <v>16654.679786202742</v>
      </c>
      <c r="K32" s="1">
        <f t="shared" si="5"/>
        <v>0</v>
      </c>
    </row>
    <row r="33" spans="1:11" x14ac:dyDescent="0.3">
      <c r="A33" s="232">
        <f t="shared" si="2"/>
        <v>46231</v>
      </c>
      <c r="B33" s="443">
        <f t="shared" si="6"/>
        <v>47715526.859999999</v>
      </c>
      <c r="C33" s="73"/>
      <c r="D33" s="73"/>
      <c r="E33" s="73">
        <f>SUM(B33:D33)</f>
        <v>47715526.859999999</v>
      </c>
      <c r="G33" s="256">
        <f t="shared" si="3"/>
        <v>1.2500000000000001E-2</v>
      </c>
      <c r="H33" s="497">
        <v>0.1149</v>
      </c>
      <c r="I33" s="254">
        <f>+H33+G33</f>
        <v>0.12740000000000001</v>
      </c>
      <c r="J33" s="255">
        <f>IF(E33&lt;0,0,E33*I33/365)</f>
        <v>16654.679786202742</v>
      </c>
      <c r="K33" s="1">
        <f>+E33-E32</f>
        <v>0</v>
      </c>
    </row>
    <row r="34" spans="1:11" x14ac:dyDescent="0.3">
      <c r="A34" s="232">
        <f t="shared" si="2"/>
        <v>46232</v>
      </c>
      <c r="B34" s="443">
        <f t="shared" si="6"/>
        <v>47715526.859999999</v>
      </c>
      <c r="C34" s="73"/>
      <c r="D34" s="73"/>
      <c r="E34" s="73">
        <f>SUM(B34:D34)</f>
        <v>47715526.859999999</v>
      </c>
      <c r="G34" s="256">
        <f t="shared" si="3"/>
        <v>1.2500000000000001E-2</v>
      </c>
      <c r="H34" s="497">
        <v>0.1149</v>
      </c>
      <c r="I34" s="254">
        <f>+H34+G34</f>
        <v>0.12740000000000001</v>
      </c>
      <c r="J34" s="255">
        <f>IF(E34&lt;0,0,E34*I34/365)</f>
        <v>16654.679786202742</v>
      </c>
      <c r="K34" s="1">
        <f>+E34-E33</f>
        <v>0</v>
      </c>
    </row>
    <row r="35" spans="1:11" x14ac:dyDescent="0.3">
      <c r="A35" s="232">
        <f t="shared" si="2"/>
        <v>46233</v>
      </c>
      <c r="B35" s="443">
        <f>B34</f>
        <v>47715526.859999999</v>
      </c>
      <c r="C35" s="73"/>
      <c r="D35" s="73"/>
      <c r="E35" s="73">
        <f>SUM(B35:D35)</f>
        <v>47715526.859999999</v>
      </c>
      <c r="G35" s="256">
        <f t="shared" si="3"/>
        <v>1.2500000000000001E-2</v>
      </c>
      <c r="H35" s="497">
        <v>0.1149</v>
      </c>
      <c r="I35" s="254">
        <f>+H35+G35</f>
        <v>0.12740000000000001</v>
      </c>
      <c r="J35" s="255">
        <f>IF(E35&lt;0,0,E35*I35/365)</f>
        <v>16654.679786202742</v>
      </c>
      <c r="K35" s="1">
        <f>+E35-E34</f>
        <v>0</v>
      </c>
    </row>
    <row r="36" spans="1:11" x14ac:dyDescent="0.3">
      <c r="A36" s="232">
        <f t="shared" si="2"/>
        <v>46234</v>
      </c>
      <c r="B36" s="443">
        <f>B35</f>
        <v>47715526.859999999</v>
      </c>
      <c r="C36" s="73"/>
      <c r="D36" s="73"/>
      <c r="E36" s="73">
        <f>SUM(B36:D36)</f>
        <v>47715526.859999999</v>
      </c>
      <c r="G36" s="256">
        <f t="shared" si="3"/>
        <v>1.2500000000000001E-2</v>
      </c>
      <c r="H36" s="497">
        <v>0.1149</v>
      </c>
      <c r="I36" s="254">
        <f>+H36+G36</f>
        <v>0.12740000000000001</v>
      </c>
      <c r="J36" s="255">
        <f>IF(E36&lt;0,0,E36*I36/365)</f>
        <v>16654.679786202742</v>
      </c>
      <c r="K36" s="1">
        <f>+E36-E35</f>
        <v>0</v>
      </c>
    </row>
    <row r="37" spans="1:11" x14ac:dyDescent="0.3">
      <c r="G37" s="258" t="s">
        <v>18</v>
      </c>
      <c r="H37" s="19"/>
      <c r="I37" s="19"/>
      <c r="J37" s="260">
        <f>SUM(J6:J36)</f>
        <v>454178.95135913411</v>
      </c>
    </row>
    <row r="38" spans="1:11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1" x14ac:dyDescent="0.3">
      <c r="G39" s="783" t="s">
        <v>24</v>
      </c>
      <c r="H39" s="783"/>
      <c r="I39" s="783"/>
    </row>
    <row r="40" spans="1:11" x14ac:dyDescent="0.3">
      <c r="G40" s="784"/>
      <c r="H40" s="784"/>
      <c r="I40" s="784"/>
      <c r="J40" s="261" t="s">
        <v>0</v>
      </c>
    </row>
    <row r="41" spans="1:11" x14ac:dyDescent="0.3">
      <c r="G41" s="785" t="s">
        <v>19</v>
      </c>
      <c r="H41" s="785"/>
      <c r="I41" s="785"/>
      <c r="J41" s="265">
        <f>'[3]BOP - RF'!$J$46</f>
        <v>541041.30690123839</v>
      </c>
      <c r="K41" s="189"/>
    </row>
    <row r="42" spans="1:11" x14ac:dyDescent="0.3">
      <c r="G42" s="803" t="s">
        <v>40</v>
      </c>
      <c r="H42" s="803"/>
      <c r="I42" s="803"/>
      <c r="J42" s="538">
        <v>541033.89</v>
      </c>
      <c r="K42" s="539"/>
    </row>
    <row r="43" spans="1:11" x14ac:dyDescent="0.3">
      <c r="B43" s="2"/>
      <c r="D43" s="2"/>
      <c r="G43" s="787" t="str">
        <f>IF(J43&lt;0,"Excess Provision to be Reversed","Additional Provision Required")</f>
        <v>Excess Provision to be Reversed</v>
      </c>
      <c r="H43" s="787"/>
      <c r="I43" s="787"/>
      <c r="J43" s="263">
        <f>IF(J42=0,0,J42-J41)</f>
        <v>-7.4169012383790687</v>
      </c>
    </row>
    <row r="44" spans="1:11" x14ac:dyDescent="0.3">
      <c r="G44" s="784"/>
      <c r="H44" s="784"/>
      <c r="I44" s="784"/>
      <c r="J44" s="784"/>
    </row>
    <row r="45" spans="1:11" ht="16.2" customHeight="1" thickBot="1" x14ac:dyDescent="0.35">
      <c r="G45" s="780" t="s">
        <v>145</v>
      </c>
      <c r="H45" s="780"/>
      <c r="I45" s="780"/>
      <c r="J45" s="264">
        <f>J37+J43</f>
        <v>454171.53445789573</v>
      </c>
      <c r="K45" s="356"/>
    </row>
    <row r="46" spans="1:11" x14ac:dyDescent="0.3">
      <c r="G46" s="781"/>
      <c r="H46" s="781"/>
      <c r="I46" s="781"/>
      <c r="J46" s="781"/>
    </row>
    <row r="47" spans="1:11" x14ac:dyDescent="0.3">
      <c r="G47" s="782" t="s">
        <v>33</v>
      </c>
      <c r="H47" s="782"/>
      <c r="I47" s="782"/>
      <c r="J47" s="265">
        <f>J41+J45-J42</f>
        <v>454178.95135913405</v>
      </c>
      <c r="K47" s="74"/>
    </row>
    <row r="49" spans="10:10" x14ac:dyDescent="0.3">
      <c r="J49" s="312"/>
    </row>
  </sheetData>
  <mergeCells count="15"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  <mergeCell ref="A1:J1"/>
    <mergeCell ref="A2:I2"/>
    <mergeCell ref="A3:J3"/>
    <mergeCell ref="A4:A5"/>
    <mergeCell ref="H4:H5"/>
    <mergeCell ref="A38:J38"/>
  </mergeCells>
  <printOptions horizontalCentered="1" verticalCentered="1"/>
  <pageMargins left="0.75" right="0.75" top="0.5" bottom="0.5" header="0.5" footer="0.5"/>
  <pageSetup scale="8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388A-564A-443C-B9C3-CAB0DEE132AB}">
  <sheetPr>
    <pageSetUpPr fitToPage="1"/>
  </sheetPr>
  <dimension ref="A1:I91"/>
  <sheetViews>
    <sheetView showGridLines="0" topLeftCell="A65" zoomScaleNormal="100" workbookViewId="0">
      <selection activeCell="A74" sqref="A74:E74"/>
    </sheetView>
  </sheetViews>
  <sheetFormatPr defaultColWidth="10.6328125" defaultRowHeight="13.8" x14ac:dyDescent="0.3"/>
  <cols>
    <col min="1" max="1" width="15.1796875" style="2" customWidth="1"/>
    <col min="2" max="2" width="13.81640625" style="2" hidden="1" customWidth="1"/>
    <col min="3" max="3" width="13.36328125" style="2" hidden="1" customWidth="1"/>
    <col min="4" max="4" width="13.453125" style="2" hidden="1" customWidth="1"/>
    <col min="5" max="5" width="11.6328125" style="2" customWidth="1"/>
    <col min="6" max="6" width="10.6328125" style="2"/>
    <col min="7" max="7" width="15.08984375" style="2" customWidth="1"/>
    <col min="8" max="8" width="3.26953125" style="2" bestFit="1" customWidth="1"/>
    <col min="9" max="9" width="8.81640625" style="2" customWidth="1"/>
    <col min="10" max="16384" width="10.6328125" style="2"/>
  </cols>
  <sheetData>
    <row r="1" spans="1:9" ht="18" x14ac:dyDescent="0.35">
      <c r="A1" s="788" t="s">
        <v>152</v>
      </c>
      <c r="B1" s="788"/>
      <c r="C1" s="788"/>
      <c r="D1" s="788"/>
      <c r="E1" s="788"/>
    </row>
    <row r="2" spans="1:9" ht="18.600000000000001" thickBot="1" x14ac:dyDescent="0.4">
      <c r="A2" s="84" t="s">
        <v>115</v>
      </c>
      <c r="B2" s="84"/>
      <c r="C2" s="84"/>
      <c r="D2" s="84"/>
      <c r="E2" s="58">
        <f>'FINANCIAL COST SUMMARY '!I2</f>
        <v>46204</v>
      </c>
    </row>
    <row r="3" spans="1:9" x14ac:dyDescent="0.3">
      <c r="A3" s="798"/>
      <c r="B3" s="798"/>
      <c r="C3" s="798"/>
      <c r="D3" s="798"/>
      <c r="E3" s="798"/>
    </row>
    <row r="4" spans="1:9" s="227" customFormat="1" x14ac:dyDescent="0.3">
      <c r="A4" s="804" t="s">
        <v>23</v>
      </c>
      <c r="B4" s="804"/>
      <c r="C4" s="804"/>
      <c r="D4" s="804"/>
      <c r="E4" s="804"/>
    </row>
    <row r="5" spans="1:9" s="230" customFormat="1" ht="43.2" customHeight="1" x14ac:dyDescent="0.3">
      <c r="A5" s="86" t="s">
        <v>4</v>
      </c>
      <c r="B5" s="536" t="s">
        <v>345</v>
      </c>
      <c r="C5" s="536" t="s">
        <v>346</v>
      </c>
      <c r="D5" s="536" t="s">
        <v>339</v>
      </c>
      <c r="E5" s="537" t="s">
        <v>0</v>
      </c>
      <c r="G5" s="231"/>
      <c r="I5" s="231"/>
    </row>
    <row r="6" spans="1:9" x14ac:dyDescent="0.3">
      <c r="A6" s="324">
        <v>46204</v>
      </c>
      <c r="B6" s="722"/>
      <c r="C6" s="722"/>
      <c r="D6" s="717"/>
      <c r="E6" s="73">
        <f>SUM(B6:D6)</f>
        <v>0</v>
      </c>
      <c r="G6" s="97">
        <v>46162</v>
      </c>
      <c r="H6" s="2">
        <v>120</v>
      </c>
      <c r="I6" s="97">
        <f>G6+H6</f>
        <v>46282</v>
      </c>
    </row>
    <row r="7" spans="1:9" x14ac:dyDescent="0.3">
      <c r="A7" s="324">
        <f>+A6+1</f>
        <v>46205</v>
      </c>
      <c r="B7" s="722"/>
      <c r="C7" s="722"/>
      <c r="D7" s="717"/>
      <c r="E7" s="73">
        <f t="shared" ref="E7:E34" si="0">SUM(B7:D7)</f>
        <v>0</v>
      </c>
    </row>
    <row r="8" spans="1:9" x14ac:dyDescent="0.3">
      <c r="A8" s="324">
        <f t="shared" ref="A8:A36" si="1">+A7+1</f>
        <v>46206</v>
      </c>
      <c r="B8" s="722"/>
      <c r="C8" s="722"/>
      <c r="D8" s="717"/>
      <c r="E8" s="73">
        <f t="shared" si="0"/>
        <v>0</v>
      </c>
      <c r="G8" s="312"/>
    </row>
    <row r="9" spans="1:9" x14ac:dyDescent="0.3">
      <c r="A9" s="324">
        <f t="shared" si="1"/>
        <v>46207</v>
      </c>
      <c r="B9" s="722"/>
      <c r="C9" s="722"/>
      <c r="D9" s="717"/>
      <c r="E9" s="73">
        <f t="shared" si="0"/>
        <v>0</v>
      </c>
      <c r="G9" s="1"/>
      <c r="I9" s="97"/>
    </row>
    <row r="10" spans="1:9" x14ac:dyDescent="0.3">
      <c r="A10" s="324">
        <f t="shared" si="1"/>
        <v>46208</v>
      </c>
      <c r="B10" s="722"/>
      <c r="C10" s="722"/>
      <c r="D10" s="717"/>
      <c r="E10" s="73">
        <f t="shared" si="0"/>
        <v>0</v>
      </c>
    </row>
    <row r="11" spans="1:9" x14ac:dyDescent="0.3">
      <c r="A11" s="324">
        <f t="shared" si="1"/>
        <v>46209</v>
      </c>
      <c r="B11" s="722"/>
      <c r="C11" s="722"/>
      <c r="D11" s="717"/>
      <c r="E11" s="73">
        <f t="shared" si="0"/>
        <v>0</v>
      </c>
    </row>
    <row r="12" spans="1:9" x14ac:dyDescent="0.3">
      <c r="A12" s="324">
        <f t="shared" si="1"/>
        <v>46210</v>
      </c>
      <c r="B12" s="722"/>
      <c r="C12" s="722"/>
      <c r="D12" s="717"/>
      <c r="E12" s="73">
        <f t="shared" si="0"/>
        <v>0</v>
      </c>
    </row>
    <row r="13" spans="1:9" x14ac:dyDescent="0.3">
      <c r="A13" s="324">
        <f t="shared" si="1"/>
        <v>46211</v>
      </c>
      <c r="B13" s="722"/>
      <c r="C13" s="722"/>
      <c r="D13" s="717"/>
      <c r="E13" s="73">
        <f t="shared" si="0"/>
        <v>0</v>
      </c>
    </row>
    <row r="14" spans="1:9" x14ac:dyDescent="0.3">
      <c r="A14" s="324">
        <f t="shared" si="1"/>
        <v>46212</v>
      </c>
      <c r="B14" s="722"/>
      <c r="C14" s="722"/>
      <c r="D14" s="717"/>
      <c r="E14" s="73">
        <f t="shared" si="0"/>
        <v>0</v>
      </c>
    </row>
    <row r="15" spans="1:9" x14ac:dyDescent="0.3">
      <c r="A15" s="324">
        <f t="shared" si="1"/>
        <v>46213</v>
      </c>
      <c r="B15" s="722"/>
      <c r="C15" s="722"/>
      <c r="D15" s="717"/>
      <c r="E15" s="73">
        <f t="shared" si="0"/>
        <v>0</v>
      </c>
    </row>
    <row r="16" spans="1:9" x14ac:dyDescent="0.3">
      <c r="A16" s="324">
        <f t="shared" si="1"/>
        <v>46214</v>
      </c>
      <c r="B16" s="722"/>
      <c r="C16" s="722"/>
      <c r="D16" s="717"/>
      <c r="E16" s="73">
        <f t="shared" si="0"/>
        <v>0</v>
      </c>
      <c r="F16" s="356"/>
      <c r="G16" s="312"/>
    </row>
    <row r="17" spans="1:9" x14ac:dyDescent="0.3">
      <c r="A17" s="324">
        <f t="shared" si="1"/>
        <v>46215</v>
      </c>
      <c r="B17" s="722"/>
      <c r="C17" s="722"/>
      <c r="D17" s="717"/>
      <c r="E17" s="73">
        <f t="shared" si="0"/>
        <v>0</v>
      </c>
    </row>
    <row r="18" spans="1:9" x14ac:dyDescent="0.3">
      <c r="A18" s="324">
        <f t="shared" si="1"/>
        <v>46216</v>
      </c>
      <c r="B18" s="722"/>
      <c r="C18" s="722"/>
      <c r="D18" s="717"/>
      <c r="E18" s="73">
        <f t="shared" si="0"/>
        <v>0</v>
      </c>
    </row>
    <row r="19" spans="1:9" x14ac:dyDescent="0.3">
      <c r="A19" s="324">
        <f t="shared" si="1"/>
        <v>46217</v>
      </c>
      <c r="B19" s="722"/>
      <c r="C19" s="722"/>
      <c r="D19" s="717"/>
      <c r="E19" s="73">
        <f t="shared" si="0"/>
        <v>0</v>
      </c>
    </row>
    <row r="20" spans="1:9" x14ac:dyDescent="0.3">
      <c r="A20" s="324">
        <f t="shared" si="1"/>
        <v>46218</v>
      </c>
      <c r="B20" s="722"/>
      <c r="C20" s="722"/>
      <c r="D20" s="717"/>
      <c r="E20" s="73">
        <f t="shared" si="0"/>
        <v>0</v>
      </c>
    </row>
    <row r="21" spans="1:9" x14ac:dyDescent="0.3">
      <c r="A21" s="324">
        <f t="shared" si="1"/>
        <v>46219</v>
      </c>
      <c r="B21" s="722"/>
      <c r="C21" s="722"/>
      <c r="D21" s="717"/>
      <c r="E21" s="73">
        <f t="shared" si="0"/>
        <v>0</v>
      </c>
    </row>
    <row r="22" spans="1:9" x14ac:dyDescent="0.3">
      <c r="A22" s="324">
        <f t="shared" si="1"/>
        <v>46220</v>
      </c>
      <c r="B22" s="722"/>
      <c r="C22" s="722"/>
      <c r="D22" s="717"/>
      <c r="E22" s="73">
        <f t="shared" si="0"/>
        <v>0</v>
      </c>
    </row>
    <row r="23" spans="1:9" x14ac:dyDescent="0.3">
      <c r="A23" s="324">
        <f t="shared" si="1"/>
        <v>46221</v>
      </c>
      <c r="B23" s="722"/>
      <c r="C23" s="722"/>
      <c r="D23" s="717"/>
      <c r="E23" s="73">
        <f t="shared" si="0"/>
        <v>0</v>
      </c>
    </row>
    <row r="24" spans="1:9" x14ac:dyDescent="0.3">
      <c r="A24" s="324">
        <f t="shared" si="1"/>
        <v>46222</v>
      </c>
      <c r="B24" s="722"/>
      <c r="C24" s="722"/>
      <c r="D24" s="717"/>
      <c r="E24" s="73">
        <f t="shared" si="0"/>
        <v>0</v>
      </c>
    </row>
    <row r="25" spans="1:9" x14ac:dyDescent="0.3">
      <c r="A25" s="324">
        <f t="shared" si="1"/>
        <v>46223</v>
      </c>
      <c r="B25" s="722"/>
      <c r="C25" s="722"/>
      <c r="D25" s="717"/>
      <c r="E25" s="73">
        <f t="shared" si="0"/>
        <v>0</v>
      </c>
    </row>
    <row r="26" spans="1:9" x14ac:dyDescent="0.3">
      <c r="A26" s="324">
        <f t="shared" si="1"/>
        <v>46224</v>
      </c>
      <c r="B26" s="722"/>
      <c r="C26" s="722"/>
      <c r="D26" s="717"/>
      <c r="E26" s="73">
        <f t="shared" si="0"/>
        <v>0</v>
      </c>
    </row>
    <row r="27" spans="1:9" x14ac:dyDescent="0.3">
      <c r="A27" s="324">
        <f t="shared" si="1"/>
        <v>46225</v>
      </c>
      <c r="B27" s="722"/>
      <c r="C27" s="722"/>
      <c r="D27" s="717"/>
      <c r="E27" s="73">
        <f t="shared" si="0"/>
        <v>0</v>
      </c>
    </row>
    <row r="28" spans="1:9" x14ac:dyDescent="0.3">
      <c r="A28" s="324">
        <f t="shared" si="1"/>
        <v>46226</v>
      </c>
      <c r="B28" s="722"/>
      <c r="C28" s="722"/>
      <c r="D28" s="717"/>
      <c r="E28" s="73">
        <f t="shared" si="0"/>
        <v>0</v>
      </c>
    </row>
    <row r="29" spans="1:9" x14ac:dyDescent="0.3">
      <c r="A29" s="232">
        <f t="shared" si="1"/>
        <v>46227</v>
      </c>
      <c r="B29" s="722"/>
      <c r="C29" s="722"/>
      <c r="D29" s="717"/>
      <c r="E29" s="73">
        <f t="shared" si="0"/>
        <v>0</v>
      </c>
      <c r="F29" s="227"/>
    </row>
    <row r="30" spans="1:9" x14ac:dyDescent="0.3">
      <c r="A30" s="232">
        <f t="shared" si="1"/>
        <v>46228</v>
      </c>
      <c r="B30" s="722"/>
      <c r="C30" s="722"/>
      <c r="D30" s="717"/>
      <c r="E30" s="73">
        <f t="shared" si="0"/>
        <v>0</v>
      </c>
    </row>
    <row r="31" spans="1:9" x14ac:dyDescent="0.3">
      <c r="A31" s="232">
        <f t="shared" si="1"/>
        <v>46229</v>
      </c>
      <c r="B31" s="722"/>
      <c r="C31" s="722"/>
      <c r="D31" s="717"/>
      <c r="E31" s="73">
        <f t="shared" si="0"/>
        <v>0</v>
      </c>
    </row>
    <row r="32" spans="1:9" x14ac:dyDescent="0.3">
      <c r="A32" s="232">
        <f t="shared" si="1"/>
        <v>46230</v>
      </c>
      <c r="B32" s="722"/>
      <c r="C32" s="722"/>
      <c r="D32" s="717"/>
      <c r="E32" s="73">
        <f t="shared" si="0"/>
        <v>0</v>
      </c>
      <c r="G32" s="97"/>
      <c r="I32" s="97"/>
    </row>
    <row r="33" spans="1:9" x14ac:dyDescent="0.3">
      <c r="A33" s="232">
        <f t="shared" si="1"/>
        <v>46231</v>
      </c>
      <c r="B33" s="722"/>
      <c r="C33" s="722"/>
      <c r="D33" s="717"/>
      <c r="E33" s="73">
        <f t="shared" si="0"/>
        <v>0</v>
      </c>
      <c r="G33" s="97"/>
      <c r="I33" s="97"/>
    </row>
    <row r="34" spans="1:9" x14ac:dyDescent="0.3">
      <c r="A34" s="232">
        <f t="shared" si="1"/>
        <v>46232</v>
      </c>
      <c r="B34" s="722"/>
      <c r="C34" s="722"/>
      <c r="D34" s="717"/>
      <c r="E34" s="73">
        <f t="shared" si="0"/>
        <v>0</v>
      </c>
      <c r="G34" s="97"/>
      <c r="I34" s="97"/>
    </row>
    <row r="35" spans="1:9" x14ac:dyDescent="0.3">
      <c r="A35" s="232">
        <f t="shared" si="1"/>
        <v>46233</v>
      </c>
      <c r="B35" s="722"/>
      <c r="C35" s="722"/>
      <c r="D35" s="717"/>
      <c r="E35" s="73">
        <f>SUM(B35:D35)</f>
        <v>0</v>
      </c>
      <c r="G35" s="97"/>
      <c r="I35" s="97"/>
    </row>
    <row r="36" spans="1:9" x14ac:dyDescent="0.3">
      <c r="A36" s="232">
        <f t="shared" si="1"/>
        <v>46234</v>
      </c>
      <c r="B36" s="722"/>
      <c r="C36" s="722"/>
      <c r="D36" s="717"/>
      <c r="E36" s="73">
        <f>SUM(B36:D36)</f>
        <v>0</v>
      </c>
      <c r="G36" s="97"/>
      <c r="I36" s="97"/>
    </row>
    <row r="38" spans="1:9" x14ac:dyDescent="0.3">
      <c r="A38" s="799" t="s">
        <v>43</v>
      </c>
      <c r="B38" s="799"/>
      <c r="C38" s="799"/>
      <c r="D38" s="799"/>
      <c r="E38" s="799"/>
    </row>
    <row r="39" spans="1:9" s="230" customFormat="1" ht="46.2" customHeight="1" x14ac:dyDescent="0.3">
      <c r="A39" s="86" t="s">
        <v>4</v>
      </c>
      <c r="B39" s="723" t="str">
        <f>B5</f>
        <v>002FATR00206533
C.D 20-05-2026 M.D 17-09-2026</v>
      </c>
      <c r="C39" s="723" t="str">
        <f>C5</f>
        <v>002FATR00206585
C.D 20-05-2026 M.D 17-09-2026</v>
      </c>
      <c r="D39" s="723" t="str">
        <f>D5</f>
        <v>002LCFS260760503
C.D 20-04-2026 M.D 18-08-2026</v>
      </c>
      <c r="E39" s="229" t="s">
        <v>0</v>
      </c>
    </row>
    <row r="40" spans="1:9" s="105" customFormat="1" ht="27.6" x14ac:dyDescent="0.25">
      <c r="A40" s="718" t="s">
        <v>206</v>
      </c>
      <c r="B40" s="719">
        <f>12.34%+1.25%</f>
        <v>0.13589999999999999</v>
      </c>
      <c r="C40" s="719">
        <f>12.34%+1.25%</f>
        <v>0.13589999999999999</v>
      </c>
      <c r="D40" s="719">
        <f>11.5%+1.25%</f>
        <v>0.1275</v>
      </c>
      <c r="E40" s="233"/>
    </row>
    <row r="41" spans="1:9" x14ac:dyDescent="0.3">
      <c r="A41" s="232">
        <f t="shared" ref="A41:A71" si="2">+A6</f>
        <v>46204</v>
      </c>
      <c r="B41" s="73">
        <f t="shared" ref="B41:D71" si="3">IF(B6&lt;0,0,B6*B$40/365)</f>
        <v>0</v>
      </c>
      <c r="C41" s="73">
        <f t="shared" si="3"/>
        <v>0</v>
      </c>
      <c r="D41" s="73">
        <f t="shared" si="3"/>
        <v>0</v>
      </c>
      <c r="E41" s="73">
        <f>SUM(B41:D41)</f>
        <v>0</v>
      </c>
    </row>
    <row r="42" spans="1:9" x14ac:dyDescent="0.3">
      <c r="A42" s="232">
        <f t="shared" si="2"/>
        <v>46205</v>
      </c>
      <c r="B42" s="73">
        <f t="shared" si="3"/>
        <v>0</v>
      </c>
      <c r="C42" s="73">
        <f t="shared" si="3"/>
        <v>0</v>
      </c>
      <c r="D42" s="73">
        <f t="shared" si="3"/>
        <v>0</v>
      </c>
      <c r="E42" s="73">
        <f t="shared" ref="E42:E69" si="4">SUM(B42:D42)</f>
        <v>0</v>
      </c>
    </row>
    <row r="43" spans="1:9" x14ac:dyDescent="0.3">
      <c r="A43" s="232">
        <f t="shared" si="2"/>
        <v>46206</v>
      </c>
      <c r="B43" s="73">
        <f t="shared" si="3"/>
        <v>0</v>
      </c>
      <c r="C43" s="73">
        <f t="shared" si="3"/>
        <v>0</v>
      </c>
      <c r="D43" s="73">
        <f t="shared" si="3"/>
        <v>0</v>
      </c>
      <c r="E43" s="73">
        <f t="shared" si="4"/>
        <v>0</v>
      </c>
    </row>
    <row r="44" spans="1:9" x14ac:dyDescent="0.3">
      <c r="A44" s="232">
        <f t="shared" si="2"/>
        <v>46207</v>
      </c>
      <c r="B44" s="73">
        <f t="shared" si="3"/>
        <v>0</v>
      </c>
      <c r="C44" s="73">
        <f t="shared" si="3"/>
        <v>0</v>
      </c>
      <c r="D44" s="73">
        <f t="shared" si="3"/>
        <v>0</v>
      </c>
      <c r="E44" s="73">
        <f t="shared" si="4"/>
        <v>0</v>
      </c>
    </row>
    <row r="45" spans="1:9" x14ac:dyDescent="0.3">
      <c r="A45" s="232">
        <f t="shared" si="2"/>
        <v>46208</v>
      </c>
      <c r="B45" s="73">
        <f t="shared" si="3"/>
        <v>0</v>
      </c>
      <c r="C45" s="73">
        <f t="shared" si="3"/>
        <v>0</v>
      </c>
      <c r="D45" s="73">
        <f t="shared" si="3"/>
        <v>0</v>
      </c>
      <c r="E45" s="73">
        <f t="shared" si="4"/>
        <v>0</v>
      </c>
    </row>
    <row r="46" spans="1:9" x14ac:dyDescent="0.3">
      <c r="A46" s="232">
        <f t="shared" si="2"/>
        <v>46209</v>
      </c>
      <c r="B46" s="73">
        <f t="shared" si="3"/>
        <v>0</v>
      </c>
      <c r="C46" s="73">
        <f t="shared" si="3"/>
        <v>0</v>
      </c>
      <c r="D46" s="73">
        <f t="shared" si="3"/>
        <v>0</v>
      </c>
      <c r="E46" s="73">
        <f t="shared" si="4"/>
        <v>0</v>
      </c>
    </row>
    <row r="47" spans="1:9" x14ac:dyDescent="0.3">
      <c r="A47" s="232">
        <f t="shared" si="2"/>
        <v>46210</v>
      </c>
      <c r="B47" s="73">
        <f t="shared" si="3"/>
        <v>0</v>
      </c>
      <c r="C47" s="73">
        <f t="shared" si="3"/>
        <v>0</v>
      </c>
      <c r="D47" s="73">
        <f t="shared" si="3"/>
        <v>0</v>
      </c>
      <c r="E47" s="73">
        <f t="shared" si="4"/>
        <v>0</v>
      </c>
    </row>
    <row r="48" spans="1:9" x14ac:dyDescent="0.3">
      <c r="A48" s="232">
        <f t="shared" si="2"/>
        <v>46211</v>
      </c>
      <c r="B48" s="73">
        <f t="shared" si="3"/>
        <v>0</v>
      </c>
      <c r="C48" s="73">
        <f t="shared" si="3"/>
        <v>0</v>
      </c>
      <c r="D48" s="73">
        <f t="shared" si="3"/>
        <v>0</v>
      </c>
      <c r="E48" s="73">
        <f t="shared" si="4"/>
        <v>0</v>
      </c>
    </row>
    <row r="49" spans="1:5" x14ac:dyDescent="0.3">
      <c r="A49" s="232">
        <f t="shared" si="2"/>
        <v>46212</v>
      </c>
      <c r="B49" s="73">
        <f t="shared" si="3"/>
        <v>0</v>
      </c>
      <c r="C49" s="73">
        <f t="shared" si="3"/>
        <v>0</v>
      </c>
      <c r="D49" s="73">
        <f t="shared" si="3"/>
        <v>0</v>
      </c>
      <c r="E49" s="73">
        <f t="shared" si="4"/>
        <v>0</v>
      </c>
    </row>
    <row r="50" spans="1:5" x14ac:dyDescent="0.3">
      <c r="A50" s="232">
        <f t="shared" si="2"/>
        <v>46213</v>
      </c>
      <c r="B50" s="73">
        <f t="shared" si="3"/>
        <v>0</v>
      </c>
      <c r="C50" s="73">
        <f t="shared" si="3"/>
        <v>0</v>
      </c>
      <c r="D50" s="73">
        <f t="shared" si="3"/>
        <v>0</v>
      </c>
      <c r="E50" s="73">
        <f t="shared" si="4"/>
        <v>0</v>
      </c>
    </row>
    <row r="51" spans="1:5" x14ac:dyDescent="0.3">
      <c r="A51" s="232">
        <f t="shared" si="2"/>
        <v>46214</v>
      </c>
      <c r="B51" s="73">
        <f t="shared" si="3"/>
        <v>0</v>
      </c>
      <c r="C51" s="73">
        <f t="shared" si="3"/>
        <v>0</v>
      </c>
      <c r="D51" s="73">
        <f t="shared" si="3"/>
        <v>0</v>
      </c>
      <c r="E51" s="73">
        <f t="shared" si="4"/>
        <v>0</v>
      </c>
    </row>
    <row r="52" spans="1:5" x14ac:dyDescent="0.3">
      <c r="A52" s="232">
        <f t="shared" si="2"/>
        <v>46215</v>
      </c>
      <c r="B52" s="73">
        <f t="shared" si="3"/>
        <v>0</v>
      </c>
      <c r="C52" s="73">
        <f t="shared" si="3"/>
        <v>0</v>
      </c>
      <c r="D52" s="73">
        <f t="shared" si="3"/>
        <v>0</v>
      </c>
      <c r="E52" s="73">
        <f t="shared" si="4"/>
        <v>0</v>
      </c>
    </row>
    <row r="53" spans="1:5" x14ac:dyDescent="0.3">
      <c r="A53" s="232">
        <f t="shared" si="2"/>
        <v>46216</v>
      </c>
      <c r="B53" s="73">
        <f t="shared" si="3"/>
        <v>0</v>
      </c>
      <c r="C53" s="73">
        <f t="shared" si="3"/>
        <v>0</v>
      </c>
      <c r="D53" s="73">
        <f t="shared" si="3"/>
        <v>0</v>
      </c>
      <c r="E53" s="73">
        <f t="shared" si="4"/>
        <v>0</v>
      </c>
    </row>
    <row r="54" spans="1:5" x14ac:dyDescent="0.3">
      <c r="A54" s="232">
        <f t="shared" si="2"/>
        <v>46217</v>
      </c>
      <c r="B54" s="73">
        <f t="shared" si="3"/>
        <v>0</v>
      </c>
      <c r="C54" s="73">
        <f t="shared" si="3"/>
        <v>0</v>
      </c>
      <c r="D54" s="73">
        <f t="shared" si="3"/>
        <v>0</v>
      </c>
      <c r="E54" s="73">
        <f t="shared" si="4"/>
        <v>0</v>
      </c>
    </row>
    <row r="55" spans="1:5" x14ac:dyDescent="0.3">
      <c r="A55" s="232">
        <f t="shared" si="2"/>
        <v>46218</v>
      </c>
      <c r="B55" s="73">
        <f t="shared" si="3"/>
        <v>0</v>
      </c>
      <c r="C55" s="73">
        <f t="shared" si="3"/>
        <v>0</v>
      </c>
      <c r="D55" s="73">
        <f t="shared" si="3"/>
        <v>0</v>
      </c>
      <c r="E55" s="73">
        <f t="shared" si="4"/>
        <v>0</v>
      </c>
    </row>
    <row r="56" spans="1:5" x14ac:dyDescent="0.3">
      <c r="A56" s="232">
        <f t="shared" si="2"/>
        <v>46219</v>
      </c>
      <c r="B56" s="73">
        <f t="shared" si="3"/>
        <v>0</v>
      </c>
      <c r="C56" s="73">
        <f t="shared" si="3"/>
        <v>0</v>
      </c>
      <c r="D56" s="73">
        <f t="shared" si="3"/>
        <v>0</v>
      </c>
      <c r="E56" s="73">
        <f t="shared" si="4"/>
        <v>0</v>
      </c>
    </row>
    <row r="57" spans="1:5" x14ac:dyDescent="0.3">
      <c r="A57" s="232">
        <f t="shared" si="2"/>
        <v>46220</v>
      </c>
      <c r="B57" s="73">
        <f t="shared" si="3"/>
        <v>0</v>
      </c>
      <c r="C57" s="73">
        <f t="shared" si="3"/>
        <v>0</v>
      </c>
      <c r="D57" s="73">
        <f t="shared" si="3"/>
        <v>0</v>
      </c>
      <c r="E57" s="73">
        <f t="shared" si="4"/>
        <v>0</v>
      </c>
    </row>
    <row r="58" spans="1:5" x14ac:dyDescent="0.3">
      <c r="A58" s="232">
        <f t="shared" si="2"/>
        <v>46221</v>
      </c>
      <c r="B58" s="73">
        <f t="shared" si="3"/>
        <v>0</v>
      </c>
      <c r="C58" s="73">
        <f t="shared" si="3"/>
        <v>0</v>
      </c>
      <c r="D58" s="73">
        <f t="shared" si="3"/>
        <v>0</v>
      </c>
      <c r="E58" s="73">
        <f t="shared" si="4"/>
        <v>0</v>
      </c>
    </row>
    <row r="59" spans="1:5" x14ac:dyDescent="0.3">
      <c r="A59" s="232">
        <f t="shared" si="2"/>
        <v>46222</v>
      </c>
      <c r="B59" s="73">
        <f t="shared" si="3"/>
        <v>0</v>
      </c>
      <c r="C59" s="73">
        <f t="shared" si="3"/>
        <v>0</v>
      </c>
      <c r="D59" s="73">
        <f t="shared" si="3"/>
        <v>0</v>
      </c>
      <c r="E59" s="73">
        <f t="shared" si="4"/>
        <v>0</v>
      </c>
    </row>
    <row r="60" spans="1:5" x14ac:dyDescent="0.3">
      <c r="A60" s="232">
        <f t="shared" si="2"/>
        <v>46223</v>
      </c>
      <c r="B60" s="73">
        <f t="shared" si="3"/>
        <v>0</v>
      </c>
      <c r="C60" s="73">
        <f t="shared" si="3"/>
        <v>0</v>
      </c>
      <c r="D60" s="73">
        <f t="shared" si="3"/>
        <v>0</v>
      </c>
      <c r="E60" s="73">
        <f t="shared" si="4"/>
        <v>0</v>
      </c>
    </row>
    <row r="61" spans="1:5" x14ac:dyDescent="0.3">
      <c r="A61" s="232">
        <f t="shared" si="2"/>
        <v>46224</v>
      </c>
      <c r="B61" s="73">
        <f t="shared" si="3"/>
        <v>0</v>
      </c>
      <c r="C61" s="73">
        <f t="shared" si="3"/>
        <v>0</v>
      </c>
      <c r="D61" s="73">
        <f t="shared" si="3"/>
        <v>0</v>
      </c>
      <c r="E61" s="73">
        <f t="shared" si="4"/>
        <v>0</v>
      </c>
    </row>
    <row r="62" spans="1:5" x14ac:dyDescent="0.3">
      <c r="A62" s="232">
        <f t="shared" si="2"/>
        <v>46225</v>
      </c>
      <c r="B62" s="73">
        <f t="shared" si="3"/>
        <v>0</v>
      </c>
      <c r="C62" s="73">
        <f t="shared" si="3"/>
        <v>0</v>
      </c>
      <c r="D62" s="73">
        <f t="shared" si="3"/>
        <v>0</v>
      </c>
      <c r="E62" s="73">
        <f t="shared" si="4"/>
        <v>0</v>
      </c>
    </row>
    <row r="63" spans="1:5" x14ac:dyDescent="0.3">
      <c r="A63" s="232">
        <f t="shared" si="2"/>
        <v>46226</v>
      </c>
      <c r="B63" s="73">
        <f t="shared" si="3"/>
        <v>0</v>
      </c>
      <c r="C63" s="73">
        <f t="shared" si="3"/>
        <v>0</v>
      </c>
      <c r="D63" s="73">
        <f t="shared" si="3"/>
        <v>0</v>
      </c>
      <c r="E63" s="73">
        <f t="shared" si="4"/>
        <v>0</v>
      </c>
    </row>
    <row r="64" spans="1:5" ht="14.4" customHeight="1" x14ac:dyDescent="0.3">
      <c r="A64" s="232">
        <f t="shared" si="2"/>
        <v>46227</v>
      </c>
      <c r="B64" s="73">
        <f t="shared" si="3"/>
        <v>0</v>
      </c>
      <c r="C64" s="73">
        <f t="shared" si="3"/>
        <v>0</v>
      </c>
      <c r="D64" s="73">
        <f t="shared" si="3"/>
        <v>0</v>
      </c>
      <c r="E64" s="73">
        <f t="shared" si="4"/>
        <v>0</v>
      </c>
    </row>
    <row r="65" spans="1:7" x14ac:dyDescent="0.3">
      <c r="A65" s="232">
        <f t="shared" si="2"/>
        <v>46228</v>
      </c>
      <c r="B65" s="73">
        <f t="shared" si="3"/>
        <v>0</v>
      </c>
      <c r="C65" s="73">
        <f t="shared" si="3"/>
        <v>0</v>
      </c>
      <c r="D65" s="73">
        <f t="shared" si="3"/>
        <v>0</v>
      </c>
      <c r="E65" s="73">
        <f t="shared" si="4"/>
        <v>0</v>
      </c>
    </row>
    <row r="66" spans="1:7" x14ac:dyDescent="0.3">
      <c r="A66" s="232">
        <f t="shared" si="2"/>
        <v>46229</v>
      </c>
      <c r="B66" s="73">
        <f t="shared" si="3"/>
        <v>0</v>
      </c>
      <c r="C66" s="73">
        <f t="shared" si="3"/>
        <v>0</v>
      </c>
      <c r="D66" s="73">
        <f t="shared" si="3"/>
        <v>0</v>
      </c>
      <c r="E66" s="73">
        <f t="shared" si="4"/>
        <v>0</v>
      </c>
    </row>
    <row r="67" spans="1:7" x14ac:dyDescent="0.3">
      <c r="A67" s="232">
        <f t="shared" si="2"/>
        <v>46230</v>
      </c>
      <c r="B67" s="73">
        <f t="shared" si="3"/>
        <v>0</v>
      </c>
      <c r="C67" s="73">
        <f t="shared" si="3"/>
        <v>0</v>
      </c>
      <c r="D67" s="73">
        <f t="shared" si="3"/>
        <v>0</v>
      </c>
      <c r="E67" s="73">
        <f t="shared" si="4"/>
        <v>0</v>
      </c>
    </row>
    <row r="68" spans="1:7" x14ac:dyDescent="0.3">
      <c r="A68" s="232">
        <f t="shared" si="2"/>
        <v>46231</v>
      </c>
      <c r="B68" s="73">
        <f t="shared" si="3"/>
        <v>0</v>
      </c>
      <c r="C68" s="73">
        <f t="shared" si="3"/>
        <v>0</v>
      </c>
      <c r="D68" s="73">
        <f t="shared" si="3"/>
        <v>0</v>
      </c>
      <c r="E68" s="73">
        <f t="shared" si="4"/>
        <v>0</v>
      </c>
    </row>
    <row r="69" spans="1:7" x14ac:dyDescent="0.3">
      <c r="A69" s="232">
        <f t="shared" si="2"/>
        <v>46232</v>
      </c>
      <c r="B69" s="73">
        <f t="shared" si="3"/>
        <v>0</v>
      </c>
      <c r="C69" s="73">
        <f t="shared" si="3"/>
        <v>0</v>
      </c>
      <c r="D69" s="73">
        <f t="shared" si="3"/>
        <v>0</v>
      </c>
      <c r="E69" s="73">
        <f t="shared" si="4"/>
        <v>0</v>
      </c>
    </row>
    <row r="70" spans="1:7" x14ac:dyDescent="0.3">
      <c r="A70" s="232">
        <f t="shared" si="2"/>
        <v>46233</v>
      </c>
      <c r="B70" s="73">
        <f t="shared" si="3"/>
        <v>0</v>
      </c>
      <c r="C70" s="73">
        <f t="shared" si="3"/>
        <v>0</v>
      </c>
      <c r="D70" s="73">
        <f t="shared" si="3"/>
        <v>0</v>
      </c>
      <c r="E70" s="73">
        <f>SUM(B70:D70)</f>
        <v>0</v>
      </c>
    </row>
    <row r="71" spans="1:7" x14ac:dyDescent="0.3">
      <c r="A71" s="232">
        <f t="shared" si="2"/>
        <v>46234</v>
      </c>
      <c r="B71" s="73">
        <f t="shared" si="3"/>
        <v>0</v>
      </c>
      <c r="C71" s="73">
        <f t="shared" si="3"/>
        <v>0</v>
      </c>
      <c r="D71" s="73">
        <f t="shared" si="3"/>
        <v>0</v>
      </c>
      <c r="E71" s="73">
        <f>SUM(B71:D71)</f>
        <v>0</v>
      </c>
    </row>
    <row r="72" spans="1:7" x14ac:dyDescent="0.3">
      <c r="A72" s="8" t="s">
        <v>18</v>
      </c>
      <c r="B72" s="234">
        <f>SUM(B41:B71)</f>
        <v>0</v>
      </c>
      <c r="C72" s="234">
        <f>SUM(C41:C71)</f>
        <v>0</v>
      </c>
      <c r="D72" s="234">
        <f>SUM(D41:D71)</f>
        <v>0</v>
      </c>
      <c r="E72" s="234">
        <f>SUM(E41:E71)</f>
        <v>0</v>
      </c>
    </row>
    <row r="73" spans="1:7" x14ac:dyDescent="0.3">
      <c r="A73" s="795"/>
      <c r="B73" s="795"/>
      <c r="C73" s="795"/>
      <c r="D73" s="795"/>
      <c r="E73" s="795"/>
    </row>
    <row r="74" spans="1:7" x14ac:dyDescent="0.3">
      <c r="A74" s="799" t="s">
        <v>46</v>
      </c>
      <c r="B74" s="799"/>
      <c r="C74" s="799"/>
      <c r="D74" s="799"/>
      <c r="E74" s="799"/>
    </row>
    <row r="75" spans="1:7" s="230" customFormat="1" ht="55.2" x14ac:dyDescent="0.3">
      <c r="A75" s="86" t="s">
        <v>22</v>
      </c>
      <c r="B75" s="716" t="str">
        <f>B39</f>
        <v>002FATR00206533
C.D 20-05-2026 M.D 17-09-2026</v>
      </c>
      <c r="C75" s="716" t="str">
        <f>C39</f>
        <v>002FATR00206585
C.D 20-05-2026 M.D 17-09-2026</v>
      </c>
      <c r="D75" s="716" t="str">
        <f>D39</f>
        <v>002LCFS260760503
C.D 20-04-2026 M.D 18-08-2026</v>
      </c>
      <c r="E75" s="229" t="s">
        <v>0</v>
      </c>
    </row>
    <row r="76" spans="1:7" x14ac:dyDescent="0.3">
      <c r="A76" s="448" t="s">
        <v>19</v>
      </c>
      <c r="B76" s="107">
        <v>0</v>
      </c>
      <c r="C76" s="107">
        <v>0</v>
      </c>
      <c r="D76" s="107">
        <v>0</v>
      </c>
      <c r="E76" s="573">
        <f>SUM(B76:D76)</f>
        <v>0</v>
      </c>
      <c r="F76" s="189"/>
    </row>
    <row r="77" spans="1:7" x14ac:dyDescent="0.3">
      <c r="A77" s="365" t="s">
        <v>20</v>
      </c>
      <c r="B77" s="543">
        <f>B72</f>
        <v>0</v>
      </c>
      <c r="C77" s="543">
        <f>C72</f>
        <v>0</v>
      </c>
      <c r="D77" s="543">
        <f>D72</f>
        <v>0</v>
      </c>
      <c r="E77" s="90">
        <f>SUM(B77:D77)</f>
        <v>0</v>
      </c>
      <c r="G77" s="74"/>
    </row>
    <row r="78" spans="1:7" s="64" customFormat="1" x14ac:dyDescent="0.3">
      <c r="A78" s="365" t="s">
        <v>29</v>
      </c>
      <c r="B78" s="107">
        <v>0</v>
      </c>
      <c r="C78" s="107">
        <v>0</v>
      </c>
      <c r="D78" s="107">
        <v>0</v>
      </c>
      <c r="E78" s="107">
        <f>SUM(D78:D78)</f>
        <v>0</v>
      </c>
    </row>
    <row r="79" spans="1:7" x14ac:dyDescent="0.3">
      <c r="A79" s="448" t="s">
        <v>18</v>
      </c>
      <c r="B79" s="107">
        <f>SUM(B76:B78)</f>
        <v>0</v>
      </c>
      <c r="C79" s="107">
        <f>SUM(C76:C78)</f>
        <v>0</v>
      </c>
      <c r="D79" s="107">
        <f>SUM(D76:D78)</f>
        <v>0</v>
      </c>
      <c r="E79" s="107">
        <f>SUM(B79:D79)</f>
        <v>0</v>
      </c>
    </row>
    <row r="80" spans="1:7" x14ac:dyDescent="0.3">
      <c r="A80" s="808"/>
      <c r="B80" s="809"/>
      <c r="C80" s="809"/>
      <c r="D80" s="809"/>
      <c r="E80" s="808"/>
    </row>
    <row r="81" spans="1:7" x14ac:dyDescent="0.3">
      <c r="A81" s="448" t="s">
        <v>32</v>
      </c>
      <c r="B81" s="185">
        <v>0</v>
      </c>
      <c r="C81" s="185">
        <v>0</v>
      </c>
      <c r="D81" s="185">
        <v>0</v>
      </c>
      <c r="E81" s="197">
        <f>SUM(B81:D81)</f>
        <v>0</v>
      </c>
      <c r="F81" s="237"/>
    </row>
    <row r="82" spans="1:7" x14ac:dyDescent="0.3">
      <c r="A82" s="795"/>
      <c r="B82" s="795"/>
      <c r="C82" s="795"/>
      <c r="D82" s="795"/>
      <c r="E82" s="795"/>
    </row>
    <row r="83" spans="1:7" x14ac:dyDescent="0.3">
      <c r="A83" s="236" t="s">
        <v>11</v>
      </c>
      <c r="B83" s="321">
        <v>0</v>
      </c>
      <c r="C83" s="321">
        <v>0</v>
      </c>
      <c r="D83" s="321">
        <v>0</v>
      </c>
      <c r="E83" s="78">
        <v>0</v>
      </c>
    </row>
    <row r="84" spans="1:7" x14ac:dyDescent="0.3">
      <c r="A84" s="795"/>
      <c r="B84" s="795"/>
      <c r="C84" s="795"/>
      <c r="D84" s="795"/>
      <c r="E84" s="795"/>
    </row>
    <row r="85" spans="1:7" x14ac:dyDescent="0.3">
      <c r="A85" s="238" t="s">
        <v>21</v>
      </c>
      <c r="B85" s="79">
        <f>B72+B83+B78</f>
        <v>0</v>
      </c>
      <c r="C85" s="79">
        <f>C72+C83+C78</f>
        <v>0</v>
      </c>
      <c r="D85" s="79">
        <f>D72+D83+D78</f>
        <v>0</v>
      </c>
      <c r="E85" s="79">
        <f>SUM(B85:D85)</f>
        <v>0</v>
      </c>
    </row>
    <row r="86" spans="1:7" x14ac:dyDescent="0.3">
      <c r="A86" s="795"/>
      <c r="B86" s="795"/>
      <c r="C86" s="795"/>
      <c r="D86" s="795"/>
      <c r="E86" s="795"/>
    </row>
    <row r="87" spans="1:7" x14ac:dyDescent="0.3">
      <c r="A87" s="239" t="s">
        <v>33</v>
      </c>
      <c r="B87" s="353">
        <f>B79+B83-B81</f>
        <v>0</v>
      </c>
      <c r="C87" s="353">
        <f>C79+C83-C81</f>
        <v>0</v>
      </c>
      <c r="D87" s="353">
        <f>D79+D83-D81</f>
        <v>0</v>
      </c>
      <c r="E87" s="240">
        <f>SUM(B87:D87)</f>
        <v>0</v>
      </c>
      <c r="G87" s="312"/>
    </row>
    <row r="91" spans="1:7" x14ac:dyDescent="0.3">
      <c r="B91" s="312"/>
    </row>
  </sheetData>
  <mergeCells count="10">
    <mergeCell ref="A80:E80"/>
    <mergeCell ref="A82:E82"/>
    <mergeCell ref="A84:E84"/>
    <mergeCell ref="A86:E86"/>
    <mergeCell ref="A1:E1"/>
    <mergeCell ref="A3:E3"/>
    <mergeCell ref="A4:E4"/>
    <mergeCell ref="A38:E38"/>
    <mergeCell ref="A73:E73"/>
    <mergeCell ref="A74:E74"/>
  </mergeCells>
  <phoneticPr fontId="3" type="noConversion"/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938E-D94C-49C4-AF93-BD1CF6DE232B}">
  <sheetPr>
    <pageSetUpPr fitToPage="1"/>
  </sheetPr>
  <dimension ref="A1:G87"/>
  <sheetViews>
    <sheetView showGridLines="0" topLeftCell="A69" zoomScaleNormal="100" workbookViewId="0">
      <selection activeCell="A95" sqref="A95"/>
    </sheetView>
  </sheetViews>
  <sheetFormatPr defaultColWidth="10.6328125" defaultRowHeight="13.8" x14ac:dyDescent="0.3"/>
  <cols>
    <col min="1" max="1" width="15.1796875" style="2" customWidth="1"/>
    <col min="2" max="2" width="12.7265625" style="359" customWidth="1"/>
    <col min="3" max="3" width="11.6328125" style="2" customWidth="1"/>
    <col min="4" max="4" width="10.6328125" style="2"/>
    <col min="5" max="5" width="15.08984375" style="2" customWidth="1"/>
    <col min="6" max="6" width="3.26953125" style="2" bestFit="1" customWidth="1"/>
    <col min="7" max="7" width="8.81640625" style="2" customWidth="1"/>
    <col min="8" max="16384" width="10.6328125" style="2"/>
  </cols>
  <sheetData>
    <row r="1" spans="1:7" ht="18" x14ac:dyDescent="0.35">
      <c r="A1" s="788" t="s">
        <v>152</v>
      </c>
      <c r="B1" s="788"/>
      <c r="C1" s="788"/>
    </row>
    <row r="2" spans="1:7" ht="18.600000000000001" thickBot="1" x14ac:dyDescent="0.4">
      <c r="A2" s="84" t="s">
        <v>214</v>
      </c>
      <c r="B2" s="467"/>
      <c r="C2" s="58">
        <f>'FINANCIAL COST SUMMARY '!I2</f>
        <v>46204</v>
      </c>
    </row>
    <row r="3" spans="1:7" x14ac:dyDescent="0.3">
      <c r="A3" s="798"/>
      <c r="B3" s="798"/>
      <c r="C3" s="798"/>
    </row>
    <row r="4" spans="1:7" s="227" customFormat="1" x14ac:dyDescent="0.3">
      <c r="A4" s="804" t="s">
        <v>23</v>
      </c>
      <c r="B4" s="804"/>
      <c r="C4" s="804"/>
    </row>
    <row r="5" spans="1:7" s="230" customFormat="1" x14ac:dyDescent="0.3">
      <c r="A5" s="86" t="s">
        <v>4</v>
      </c>
      <c r="B5" s="328"/>
      <c r="C5" s="229" t="s">
        <v>0</v>
      </c>
      <c r="E5" s="231"/>
      <c r="G5" s="231"/>
    </row>
    <row r="6" spans="1:7" x14ac:dyDescent="0.3">
      <c r="A6" s="232">
        <v>46204</v>
      </c>
      <c r="B6" s="313"/>
      <c r="C6" s="73">
        <f t="shared" ref="C6:C34" si="0">SUM(B6:B6)</f>
        <v>0</v>
      </c>
      <c r="E6" s="97">
        <v>45324</v>
      </c>
      <c r="F6" s="2">
        <v>120</v>
      </c>
      <c r="G6" s="97">
        <f>E6+F6</f>
        <v>45444</v>
      </c>
    </row>
    <row r="7" spans="1:7" x14ac:dyDescent="0.3">
      <c r="A7" s="232">
        <f>+A6+1</f>
        <v>46205</v>
      </c>
      <c r="B7" s="313"/>
      <c r="C7" s="73">
        <f t="shared" si="0"/>
        <v>0</v>
      </c>
    </row>
    <row r="8" spans="1:7" x14ac:dyDescent="0.3">
      <c r="A8" s="232">
        <f t="shared" ref="A8:A36" si="1">+A7+1</f>
        <v>46206</v>
      </c>
      <c r="B8" s="313"/>
      <c r="C8" s="73">
        <f t="shared" si="0"/>
        <v>0</v>
      </c>
    </row>
    <row r="9" spans="1:7" x14ac:dyDescent="0.3">
      <c r="A9" s="232">
        <f t="shared" si="1"/>
        <v>46207</v>
      </c>
      <c r="B9" s="313"/>
      <c r="C9" s="73">
        <f t="shared" si="0"/>
        <v>0</v>
      </c>
      <c r="E9" s="1"/>
      <c r="G9" s="97"/>
    </row>
    <row r="10" spans="1:7" x14ac:dyDescent="0.3">
      <c r="A10" s="232">
        <f t="shared" si="1"/>
        <v>46208</v>
      </c>
      <c r="B10" s="313"/>
      <c r="C10" s="73">
        <f t="shared" si="0"/>
        <v>0</v>
      </c>
    </row>
    <row r="11" spans="1:7" x14ac:dyDescent="0.3">
      <c r="A11" s="232">
        <f t="shared" si="1"/>
        <v>46209</v>
      </c>
      <c r="B11" s="313"/>
      <c r="C11" s="73">
        <f t="shared" si="0"/>
        <v>0</v>
      </c>
    </row>
    <row r="12" spans="1:7" x14ac:dyDescent="0.3">
      <c r="A12" s="232">
        <f t="shared" si="1"/>
        <v>46210</v>
      </c>
      <c r="B12" s="313"/>
      <c r="C12" s="73">
        <f t="shared" si="0"/>
        <v>0</v>
      </c>
    </row>
    <row r="13" spans="1:7" x14ac:dyDescent="0.3">
      <c r="A13" s="232">
        <f t="shared" si="1"/>
        <v>46211</v>
      </c>
      <c r="B13" s="313"/>
      <c r="C13" s="73">
        <f t="shared" si="0"/>
        <v>0</v>
      </c>
    </row>
    <row r="14" spans="1:7" x14ac:dyDescent="0.3">
      <c r="A14" s="232">
        <f t="shared" si="1"/>
        <v>46212</v>
      </c>
      <c r="B14" s="313"/>
      <c r="C14" s="73">
        <f t="shared" si="0"/>
        <v>0</v>
      </c>
    </row>
    <row r="15" spans="1:7" x14ac:dyDescent="0.3">
      <c r="A15" s="232">
        <f t="shared" si="1"/>
        <v>46213</v>
      </c>
      <c r="B15" s="313"/>
      <c r="C15" s="73">
        <f t="shared" si="0"/>
        <v>0</v>
      </c>
    </row>
    <row r="16" spans="1:7" x14ac:dyDescent="0.3">
      <c r="A16" s="232">
        <f t="shared" si="1"/>
        <v>46214</v>
      </c>
      <c r="B16" s="313"/>
      <c r="C16" s="73">
        <f t="shared" si="0"/>
        <v>0</v>
      </c>
      <c r="D16" s="356"/>
      <c r="E16" s="312"/>
    </row>
    <row r="17" spans="1:7" x14ac:dyDescent="0.3">
      <c r="A17" s="232">
        <f t="shared" si="1"/>
        <v>46215</v>
      </c>
      <c r="B17" s="313"/>
      <c r="C17" s="73">
        <f t="shared" si="0"/>
        <v>0</v>
      </c>
    </row>
    <row r="18" spans="1:7" x14ac:dyDescent="0.3">
      <c r="A18" s="232">
        <f t="shared" si="1"/>
        <v>46216</v>
      </c>
      <c r="B18" s="313"/>
      <c r="C18" s="73">
        <f t="shared" si="0"/>
        <v>0</v>
      </c>
    </row>
    <row r="19" spans="1:7" x14ac:dyDescent="0.3">
      <c r="A19" s="232">
        <f t="shared" si="1"/>
        <v>46217</v>
      </c>
      <c r="B19" s="313"/>
      <c r="C19" s="73">
        <f t="shared" si="0"/>
        <v>0</v>
      </c>
    </row>
    <row r="20" spans="1:7" x14ac:dyDescent="0.3">
      <c r="A20" s="232">
        <f t="shared" si="1"/>
        <v>46218</v>
      </c>
      <c r="B20" s="313"/>
      <c r="C20" s="73">
        <f t="shared" si="0"/>
        <v>0</v>
      </c>
    </row>
    <row r="21" spans="1:7" x14ac:dyDescent="0.3">
      <c r="A21" s="232">
        <f t="shared" si="1"/>
        <v>46219</v>
      </c>
      <c r="B21" s="313"/>
      <c r="C21" s="73">
        <f t="shared" si="0"/>
        <v>0</v>
      </c>
    </row>
    <row r="22" spans="1:7" x14ac:dyDescent="0.3">
      <c r="A22" s="232">
        <f t="shared" si="1"/>
        <v>46220</v>
      </c>
      <c r="B22" s="313"/>
      <c r="C22" s="73">
        <f t="shared" si="0"/>
        <v>0</v>
      </c>
    </row>
    <row r="23" spans="1:7" x14ac:dyDescent="0.3">
      <c r="A23" s="232">
        <f t="shared" si="1"/>
        <v>46221</v>
      </c>
      <c r="B23" s="313"/>
      <c r="C23" s="73">
        <f t="shared" si="0"/>
        <v>0</v>
      </c>
    </row>
    <row r="24" spans="1:7" x14ac:dyDescent="0.3">
      <c r="A24" s="232">
        <f t="shared" si="1"/>
        <v>46222</v>
      </c>
      <c r="B24" s="313"/>
      <c r="C24" s="73">
        <f t="shared" si="0"/>
        <v>0</v>
      </c>
    </row>
    <row r="25" spans="1:7" x14ac:dyDescent="0.3">
      <c r="A25" s="232">
        <f t="shared" si="1"/>
        <v>46223</v>
      </c>
      <c r="B25" s="313"/>
      <c r="C25" s="73">
        <f t="shared" si="0"/>
        <v>0</v>
      </c>
    </row>
    <row r="26" spans="1:7" x14ac:dyDescent="0.3">
      <c r="A26" s="232">
        <f t="shared" si="1"/>
        <v>46224</v>
      </c>
      <c r="B26" s="313"/>
      <c r="C26" s="73">
        <f t="shared" si="0"/>
        <v>0</v>
      </c>
    </row>
    <row r="27" spans="1:7" x14ac:dyDescent="0.3">
      <c r="A27" s="232">
        <f t="shared" si="1"/>
        <v>46225</v>
      </c>
      <c r="B27" s="313"/>
      <c r="C27" s="73">
        <f t="shared" si="0"/>
        <v>0</v>
      </c>
    </row>
    <row r="28" spans="1:7" x14ac:dyDescent="0.3">
      <c r="A28" s="232">
        <f t="shared" si="1"/>
        <v>46226</v>
      </c>
      <c r="B28" s="313"/>
      <c r="C28" s="73">
        <f t="shared" si="0"/>
        <v>0</v>
      </c>
    </row>
    <row r="29" spans="1:7" x14ac:dyDescent="0.3">
      <c r="A29" s="232">
        <f t="shared" si="1"/>
        <v>46227</v>
      </c>
      <c r="B29" s="313"/>
      <c r="C29" s="73">
        <f t="shared" si="0"/>
        <v>0</v>
      </c>
      <c r="D29" s="227"/>
    </row>
    <row r="30" spans="1:7" x14ac:dyDescent="0.3">
      <c r="A30" s="232">
        <f t="shared" si="1"/>
        <v>46228</v>
      </c>
      <c r="B30" s="313"/>
      <c r="C30" s="73">
        <f t="shared" si="0"/>
        <v>0</v>
      </c>
    </row>
    <row r="31" spans="1:7" x14ac:dyDescent="0.3">
      <c r="A31" s="232">
        <f t="shared" si="1"/>
        <v>46229</v>
      </c>
      <c r="B31" s="313"/>
      <c r="C31" s="73">
        <f t="shared" si="0"/>
        <v>0</v>
      </c>
    </row>
    <row r="32" spans="1:7" x14ac:dyDescent="0.3">
      <c r="A32" s="232">
        <f t="shared" si="1"/>
        <v>46230</v>
      </c>
      <c r="B32" s="313"/>
      <c r="C32" s="73">
        <f t="shared" si="0"/>
        <v>0</v>
      </c>
      <c r="E32" s="97"/>
      <c r="G32" s="97"/>
    </row>
    <row r="33" spans="1:7" x14ac:dyDescent="0.3">
      <c r="A33" s="232">
        <f t="shared" si="1"/>
        <v>46231</v>
      </c>
      <c r="B33" s="313"/>
      <c r="C33" s="73">
        <f t="shared" si="0"/>
        <v>0</v>
      </c>
      <c r="E33" s="97"/>
      <c r="G33" s="97"/>
    </row>
    <row r="34" spans="1:7" x14ac:dyDescent="0.3">
      <c r="A34" s="232">
        <f t="shared" si="1"/>
        <v>46232</v>
      </c>
      <c r="B34" s="313"/>
      <c r="C34" s="73">
        <f t="shared" si="0"/>
        <v>0</v>
      </c>
      <c r="E34" s="97"/>
      <c r="G34" s="97"/>
    </row>
    <row r="35" spans="1:7" x14ac:dyDescent="0.3">
      <c r="A35" s="232">
        <f t="shared" si="1"/>
        <v>46233</v>
      </c>
      <c r="B35" s="313"/>
      <c r="C35" s="73">
        <f>SUM(B35:B35)</f>
        <v>0</v>
      </c>
      <c r="E35" s="97"/>
      <c r="G35" s="97"/>
    </row>
    <row r="36" spans="1:7" x14ac:dyDescent="0.3">
      <c r="A36" s="232">
        <f t="shared" si="1"/>
        <v>46234</v>
      </c>
      <c r="B36" s="313"/>
      <c r="C36" s="73">
        <f>SUM(B36:B36)</f>
        <v>0</v>
      </c>
      <c r="E36" s="97"/>
      <c r="G36" s="97"/>
    </row>
    <row r="37" spans="1:7" x14ac:dyDescent="0.3">
      <c r="B37" s="2"/>
    </row>
    <row r="38" spans="1:7" x14ac:dyDescent="0.3">
      <c r="A38" s="799" t="s">
        <v>43</v>
      </c>
      <c r="B38" s="799"/>
      <c r="C38" s="799"/>
    </row>
    <row r="39" spans="1:7" s="230" customFormat="1" ht="46.2" customHeight="1" x14ac:dyDescent="0.3">
      <c r="A39" s="86" t="s">
        <v>4</v>
      </c>
      <c r="B39" s="228"/>
      <c r="C39" s="229" t="s">
        <v>0</v>
      </c>
    </row>
    <row r="40" spans="1:7" s="105" customFormat="1" ht="27.6" x14ac:dyDescent="0.25">
      <c r="A40" s="316" t="s">
        <v>208</v>
      </c>
      <c r="B40" s="343">
        <f>20.14%+1.25%</f>
        <v>0.21390000000000001</v>
      </c>
      <c r="C40" s="233"/>
    </row>
    <row r="41" spans="1:7" x14ac:dyDescent="0.3">
      <c r="A41" s="232">
        <f t="shared" ref="A41:A71" si="2">+A6</f>
        <v>46204</v>
      </c>
      <c r="B41" s="73">
        <f t="shared" ref="B41:B71" si="3">IF(B6&lt;0,0,B6*B$40/365)</f>
        <v>0</v>
      </c>
      <c r="C41" s="73">
        <f t="shared" ref="C41:C69" si="4">SUM(B41:B41)</f>
        <v>0</v>
      </c>
    </row>
    <row r="42" spans="1:7" x14ac:dyDescent="0.3">
      <c r="A42" s="232">
        <f t="shared" si="2"/>
        <v>46205</v>
      </c>
      <c r="B42" s="73">
        <f t="shared" si="3"/>
        <v>0</v>
      </c>
      <c r="C42" s="73">
        <f t="shared" si="4"/>
        <v>0</v>
      </c>
    </row>
    <row r="43" spans="1:7" x14ac:dyDescent="0.3">
      <c r="A43" s="232">
        <f t="shared" si="2"/>
        <v>46206</v>
      </c>
      <c r="B43" s="73">
        <f t="shared" si="3"/>
        <v>0</v>
      </c>
      <c r="C43" s="73">
        <f t="shared" si="4"/>
        <v>0</v>
      </c>
    </row>
    <row r="44" spans="1:7" x14ac:dyDescent="0.3">
      <c r="A44" s="232">
        <f t="shared" si="2"/>
        <v>46207</v>
      </c>
      <c r="B44" s="73">
        <f t="shared" si="3"/>
        <v>0</v>
      </c>
      <c r="C44" s="73">
        <f t="shared" si="4"/>
        <v>0</v>
      </c>
    </row>
    <row r="45" spans="1:7" x14ac:dyDescent="0.3">
      <c r="A45" s="232">
        <f t="shared" si="2"/>
        <v>46208</v>
      </c>
      <c r="B45" s="73">
        <f t="shared" si="3"/>
        <v>0</v>
      </c>
      <c r="C45" s="73">
        <f t="shared" si="4"/>
        <v>0</v>
      </c>
    </row>
    <row r="46" spans="1:7" x14ac:dyDescent="0.3">
      <c r="A46" s="232">
        <f t="shared" si="2"/>
        <v>46209</v>
      </c>
      <c r="B46" s="73">
        <f t="shared" si="3"/>
        <v>0</v>
      </c>
      <c r="C46" s="73">
        <f t="shared" si="4"/>
        <v>0</v>
      </c>
    </row>
    <row r="47" spans="1:7" x14ac:dyDescent="0.3">
      <c r="A47" s="232">
        <f t="shared" si="2"/>
        <v>46210</v>
      </c>
      <c r="B47" s="73">
        <f t="shared" si="3"/>
        <v>0</v>
      </c>
      <c r="C47" s="73">
        <f t="shared" si="4"/>
        <v>0</v>
      </c>
    </row>
    <row r="48" spans="1:7" x14ac:dyDescent="0.3">
      <c r="A48" s="232">
        <f t="shared" si="2"/>
        <v>46211</v>
      </c>
      <c r="B48" s="73">
        <f t="shared" si="3"/>
        <v>0</v>
      </c>
      <c r="C48" s="73">
        <f t="shared" si="4"/>
        <v>0</v>
      </c>
    </row>
    <row r="49" spans="1:3" x14ac:dyDescent="0.3">
      <c r="A49" s="232">
        <f t="shared" si="2"/>
        <v>46212</v>
      </c>
      <c r="B49" s="73">
        <f t="shared" si="3"/>
        <v>0</v>
      </c>
      <c r="C49" s="73">
        <f t="shared" si="4"/>
        <v>0</v>
      </c>
    </row>
    <row r="50" spans="1:3" x14ac:dyDescent="0.3">
      <c r="A50" s="232">
        <f t="shared" si="2"/>
        <v>46213</v>
      </c>
      <c r="B50" s="73">
        <f t="shared" si="3"/>
        <v>0</v>
      </c>
      <c r="C50" s="73">
        <f t="shared" si="4"/>
        <v>0</v>
      </c>
    </row>
    <row r="51" spans="1:3" x14ac:dyDescent="0.3">
      <c r="A51" s="232">
        <f t="shared" si="2"/>
        <v>46214</v>
      </c>
      <c r="B51" s="73">
        <f t="shared" si="3"/>
        <v>0</v>
      </c>
      <c r="C51" s="73">
        <f t="shared" si="4"/>
        <v>0</v>
      </c>
    </row>
    <row r="52" spans="1:3" x14ac:dyDescent="0.3">
      <c r="A52" s="232">
        <f t="shared" si="2"/>
        <v>46215</v>
      </c>
      <c r="B52" s="73">
        <f t="shared" si="3"/>
        <v>0</v>
      </c>
      <c r="C52" s="73">
        <f t="shared" si="4"/>
        <v>0</v>
      </c>
    </row>
    <row r="53" spans="1:3" x14ac:dyDescent="0.3">
      <c r="A53" s="232">
        <f t="shared" si="2"/>
        <v>46216</v>
      </c>
      <c r="B53" s="73">
        <f t="shared" si="3"/>
        <v>0</v>
      </c>
      <c r="C53" s="73">
        <f t="shared" si="4"/>
        <v>0</v>
      </c>
    </row>
    <row r="54" spans="1:3" x14ac:dyDescent="0.3">
      <c r="A54" s="232">
        <f t="shared" si="2"/>
        <v>46217</v>
      </c>
      <c r="B54" s="73">
        <f t="shared" si="3"/>
        <v>0</v>
      </c>
      <c r="C54" s="73">
        <f t="shared" si="4"/>
        <v>0</v>
      </c>
    </row>
    <row r="55" spans="1:3" x14ac:dyDescent="0.3">
      <c r="A55" s="232">
        <f t="shared" si="2"/>
        <v>46218</v>
      </c>
      <c r="B55" s="73">
        <f t="shared" si="3"/>
        <v>0</v>
      </c>
      <c r="C55" s="73">
        <f t="shared" si="4"/>
        <v>0</v>
      </c>
    </row>
    <row r="56" spans="1:3" x14ac:dyDescent="0.3">
      <c r="A56" s="232">
        <f t="shared" si="2"/>
        <v>46219</v>
      </c>
      <c r="B56" s="73">
        <f t="shared" si="3"/>
        <v>0</v>
      </c>
      <c r="C56" s="73">
        <f t="shared" si="4"/>
        <v>0</v>
      </c>
    </row>
    <row r="57" spans="1:3" x14ac:dyDescent="0.3">
      <c r="A57" s="232">
        <f t="shared" si="2"/>
        <v>46220</v>
      </c>
      <c r="B57" s="73">
        <f t="shared" si="3"/>
        <v>0</v>
      </c>
      <c r="C57" s="73">
        <f t="shared" si="4"/>
        <v>0</v>
      </c>
    </row>
    <row r="58" spans="1:3" x14ac:dyDescent="0.3">
      <c r="A58" s="232">
        <f t="shared" si="2"/>
        <v>46221</v>
      </c>
      <c r="B58" s="73">
        <f t="shared" si="3"/>
        <v>0</v>
      </c>
      <c r="C58" s="73">
        <f t="shared" si="4"/>
        <v>0</v>
      </c>
    </row>
    <row r="59" spans="1:3" x14ac:dyDescent="0.3">
      <c r="A59" s="232">
        <f t="shared" si="2"/>
        <v>46222</v>
      </c>
      <c r="B59" s="73">
        <f t="shared" si="3"/>
        <v>0</v>
      </c>
      <c r="C59" s="73">
        <f t="shared" si="4"/>
        <v>0</v>
      </c>
    </row>
    <row r="60" spans="1:3" x14ac:dyDescent="0.3">
      <c r="A60" s="232">
        <f t="shared" si="2"/>
        <v>46223</v>
      </c>
      <c r="B60" s="73">
        <f t="shared" si="3"/>
        <v>0</v>
      </c>
      <c r="C60" s="73">
        <f t="shared" si="4"/>
        <v>0</v>
      </c>
    </row>
    <row r="61" spans="1:3" x14ac:dyDescent="0.3">
      <c r="A61" s="232">
        <f t="shared" si="2"/>
        <v>46224</v>
      </c>
      <c r="B61" s="73">
        <f t="shared" si="3"/>
        <v>0</v>
      </c>
      <c r="C61" s="73">
        <f t="shared" si="4"/>
        <v>0</v>
      </c>
    </row>
    <row r="62" spans="1:3" x14ac:dyDescent="0.3">
      <c r="A62" s="232">
        <f t="shared" si="2"/>
        <v>46225</v>
      </c>
      <c r="B62" s="73">
        <f t="shared" si="3"/>
        <v>0</v>
      </c>
      <c r="C62" s="73">
        <f t="shared" si="4"/>
        <v>0</v>
      </c>
    </row>
    <row r="63" spans="1:3" x14ac:dyDescent="0.3">
      <c r="A63" s="232">
        <f t="shared" si="2"/>
        <v>46226</v>
      </c>
      <c r="B63" s="73">
        <f t="shared" si="3"/>
        <v>0</v>
      </c>
      <c r="C63" s="73">
        <f t="shared" si="4"/>
        <v>0</v>
      </c>
    </row>
    <row r="64" spans="1:3" ht="14.4" customHeight="1" x14ac:dyDescent="0.3">
      <c r="A64" s="232">
        <f t="shared" si="2"/>
        <v>46227</v>
      </c>
      <c r="B64" s="73">
        <f t="shared" si="3"/>
        <v>0</v>
      </c>
      <c r="C64" s="73">
        <f t="shared" si="4"/>
        <v>0</v>
      </c>
    </row>
    <row r="65" spans="1:5" x14ac:dyDescent="0.3">
      <c r="A65" s="232">
        <f t="shared" si="2"/>
        <v>46228</v>
      </c>
      <c r="B65" s="73">
        <f t="shared" si="3"/>
        <v>0</v>
      </c>
      <c r="C65" s="73">
        <f t="shared" si="4"/>
        <v>0</v>
      </c>
    </row>
    <row r="66" spans="1:5" x14ac:dyDescent="0.3">
      <c r="A66" s="232">
        <f t="shared" si="2"/>
        <v>46229</v>
      </c>
      <c r="B66" s="73">
        <f t="shared" si="3"/>
        <v>0</v>
      </c>
      <c r="C66" s="73">
        <f t="shared" si="4"/>
        <v>0</v>
      </c>
    </row>
    <row r="67" spans="1:5" x14ac:dyDescent="0.3">
      <c r="A67" s="232">
        <f t="shared" si="2"/>
        <v>46230</v>
      </c>
      <c r="B67" s="73">
        <f t="shared" si="3"/>
        <v>0</v>
      </c>
      <c r="C67" s="73">
        <f t="shared" si="4"/>
        <v>0</v>
      </c>
    </row>
    <row r="68" spans="1:5" x14ac:dyDescent="0.3">
      <c r="A68" s="232">
        <f t="shared" si="2"/>
        <v>46231</v>
      </c>
      <c r="B68" s="73">
        <f t="shared" si="3"/>
        <v>0</v>
      </c>
      <c r="C68" s="73">
        <f t="shared" si="4"/>
        <v>0</v>
      </c>
    </row>
    <row r="69" spans="1:5" x14ac:dyDescent="0.3">
      <c r="A69" s="232">
        <f t="shared" si="2"/>
        <v>46232</v>
      </c>
      <c r="B69" s="73">
        <f t="shared" si="3"/>
        <v>0</v>
      </c>
      <c r="C69" s="73">
        <f t="shared" si="4"/>
        <v>0</v>
      </c>
    </row>
    <row r="70" spans="1:5" x14ac:dyDescent="0.3">
      <c r="A70" s="232">
        <f t="shared" si="2"/>
        <v>46233</v>
      </c>
      <c r="B70" s="73">
        <f t="shared" si="3"/>
        <v>0</v>
      </c>
      <c r="C70" s="73">
        <f>SUM(B70:B70)</f>
        <v>0</v>
      </c>
    </row>
    <row r="71" spans="1:5" x14ac:dyDescent="0.3">
      <c r="A71" s="232">
        <f t="shared" si="2"/>
        <v>46234</v>
      </c>
      <c r="B71" s="73">
        <f t="shared" si="3"/>
        <v>0</v>
      </c>
      <c r="C71" s="73">
        <f>SUM(B71:B71)</f>
        <v>0</v>
      </c>
    </row>
    <row r="72" spans="1:5" x14ac:dyDescent="0.3">
      <c r="A72" s="8" t="s">
        <v>18</v>
      </c>
      <c r="B72" s="234">
        <f>SUM(B41:B71)</f>
        <v>0</v>
      </c>
      <c r="C72" s="234">
        <f>SUM(C41:C71)</f>
        <v>0</v>
      </c>
    </row>
    <row r="73" spans="1:5" x14ac:dyDescent="0.3">
      <c r="A73" s="795"/>
      <c r="B73" s="795"/>
      <c r="C73" s="795"/>
    </row>
    <row r="74" spans="1:5" x14ac:dyDescent="0.3">
      <c r="A74" s="799" t="s">
        <v>46</v>
      </c>
      <c r="B74" s="799"/>
      <c r="C74" s="799"/>
    </row>
    <row r="75" spans="1:5" s="230" customFormat="1" ht="27.6" x14ac:dyDescent="0.3">
      <c r="A75" s="86" t="s">
        <v>22</v>
      </c>
      <c r="B75" s="228"/>
      <c r="C75" s="229" t="s">
        <v>0</v>
      </c>
    </row>
    <row r="76" spans="1:5" x14ac:dyDescent="0.3">
      <c r="A76" s="235" t="s">
        <v>19</v>
      </c>
      <c r="B76" s="158">
        <v>0</v>
      </c>
      <c r="C76" s="158">
        <f>SUM(B76:B76)</f>
        <v>0</v>
      </c>
      <c r="D76" s="189"/>
    </row>
    <row r="77" spans="1:5" x14ac:dyDescent="0.3">
      <c r="A77" s="235" t="s">
        <v>20</v>
      </c>
      <c r="B77" s="73">
        <f>B72</f>
        <v>0</v>
      </c>
      <c r="C77" s="321">
        <f>SUM(B77:B77)</f>
        <v>0</v>
      </c>
      <c r="E77" s="74"/>
    </row>
    <row r="78" spans="1:5" s="64" customFormat="1" x14ac:dyDescent="0.3">
      <c r="A78" s="365" t="s">
        <v>29</v>
      </c>
      <c r="B78" s="420">
        <v>0</v>
      </c>
      <c r="C78" s="321">
        <f>SUM(B78:B78)</f>
        <v>0</v>
      </c>
    </row>
    <row r="79" spans="1:5" x14ac:dyDescent="0.3">
      <c r="A79" s="235" t="s">
        <v>18</v>
      </c>
      <c r="B79" s="78">
        <f>SUM(B76:B78)</f>
        <v>0</v>
      </c>
      <c r="C79" s="321">
        <f>SUM(B79:B79)</f>
        <v>0</v>
      </c>
    </row>
    <row r="80" spans="1:5" x14ac:dyDescent="0.3">
      <c r="A80" s="796"/>
      <c r="B80" s="805"/>
      <c r="C80" s="796"/>
    </row>
    <row r="81" spans="1:4" x14ac:dyDescent="0.3">
      <c r="A81" s="236" t="s">
        <v>32</v>
      </c>
      <c r="B81" s="158">
        <v>0</v>
      </c>
      <c r="C81" s="158">
        <f>SUM(B81:B81)</f>
        <v>0</v>
      </c>
      <c r="D81" s="237"/>
    </row>
    <row r="82" spans="1:4" x14ac:dyDescent="0.3">
      <c r="A82" s="795"/>
      <c r="B82" s="795"/>
      <c r="C82" s="795"/>
    </row>
    <row r="83" spans="1:4" x14ac:dyDescent="0.3">
      <c r="A83" s="236" t="s">
        <v>11</v>
      </c>
      <c r="B83" s="321">
        <v>0</v>
      </c>
      <c r="C83" s="78">
        <v>0</v>
      </c>
    </row>
    <row r="84" spans="1:4" x14ac:dyDescent="0.3">
      <c r="A84" s="795"/>
      <c r="B84" s="795"/>
      <c r="C84" s="795"/>
    </row>
    <row r="85" spans="1:4" x14ac:dyDescent="0.3">
      <c r="A85" s="238" t="s">
        <v>21</v>
      </c>
      <c r="B85" s="79">
        <f>B72+B83+B78</f>
        <v>0</v>
      </c>
      <c r="C85" s="79">
        <f>SUM(B85:B85)</f>
        <v>0</v>
      </c>
    </row>
    <row r="86" spans="1:4" x14ac:dyDescent="0.3">
      <c r="A86" s="795"/>
      <c r="B86" s="795"/>
      <c r="C86" s="795"/>
    </row>
    <row r="87" spans="1:4" x14ac:dyDescent="0.3">
      <c r="A87" s="239" t="s">
        <v>33</v>
      </c>
      <c r="B87" s="353">
        <f>B79+B83-B81</f>
        <v>0</v>
      </c>
      <c r="C87" s="240">
        <f>SUM(B87:B87)</f>
        <v>0</v>
      </c>
    </row>
  </sheetData>
  <mergeCells count="10">
    <mergeCell ref="A80:C80"/>
    <mergeCell ref="A82:C82"/>
    <mergeCell ref="A84:C84"/>
    <mergeCell ref="A86:C86"/>
    <mergeCell ref="A1:C1"/>
    <mergeCell ref="A3:C3"/>
    <mergeCell ref="A4:C4"/>
    <mergeCell ref="A38:C38"/>
    <mergeCell ref="A73:C73"/>
    <mergeCell ref="A74:C74"/>
  </mergeCells>
  <printOptions horizontalCentered="1" verticalCentered="1"/>
  <pageMargins left="0.25" right="0.25" top="0.5" bottom="0.5" header="0.5" footer="0.5"/>
  <pageSetup scale="43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6A7E-B903-4864-B71A-C82CD311ED8F}">
  <sheetPr>
    <pageSetUpPr fitToPage="1"/>
  </sheetPr>
  <dimension ref="A1:K49"/>
  <sheetViews>
    <sheetView showGridLines="0" zoomScaleNormal="100" zoomScaleSheetLayoutView="100" workbookViewId="0">
      <selection activeCell="A36" sqref="A36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8.7265625" style="123" customWidth="1"/>
    <col min="5" max="5" width="12" style="123" customWidth="1"/>
    <col min="6" max="6" width="2.36328125" style="2" customWidth="1"/>
    <col min="7" max="7" width="7.90625" style="2" customWidth="1"/>
    <col min="8" max="8" width="8.81640625" style="2" customWidth="1"/>
    <col min="9" max="9" width="6.90625" style="2" customWidth="1"/>
    <col min="10" max="10" width="11.08984375" style="2" customWidth="1"/>
    <col min="11" max="11" width="11.81640625" style="2" bestFit="1" customWidth="1"/>
    <col min="12" max="16384" width="10.6328125" style="2"/>
  </cols>
  <sheetData>
    <row r="1" spans="1:11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1" ht="18.600000000000001" thickBot="1" x14ac:dyDescent="0.4">
      <c r="A2" s="789" t="s">
        <v>215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1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500">
        <v>0</v>
      </c>
    </row>
    <row r="4" spans="1:11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811" t="s">
        <v>209</v>
      </c>
      <c r="I4" s="245" t="s">
        <v>161</v>
      </c>
      <c r="J4" s="246" t="s">
        <v>162</v>
      </c>
    </row>
    <row r="5" spans="1:11" x14ac:dyDescent="0.3">
      <c r="A5" s="810"/>
      <c r="B5" s="521" t="s">
        <v>1</v>
      </c>
      <c r="C5" s="521" t="s">
        <v>12</v>
      </c>
      <c r="D5" s="521" t="s">
        <v>13</v>
      </c>
      <c r="E5" s="521" t="s">
        <v>163</v>
      </c>
      <c r="G5" s="248" t="s">
        <v>164</v>
      </c>
      <c r="H5" s="812"/>
      <c r="I5" s="249" t="s">
        <v>165</v>
      </c>
      <c r="J5" s="250" t="s">
        <v>166</v>
      </c>
    </row>
    <row r="6" spans="1:11" x14ac:dyDescent="0.3">
      <c r="A6" s="520">
        <v>46204</v>
      </c>
      <c r="B6" s="327">
        <v>0</v>
      </c>
      <c r="C6" s="325"/>
      <c r="D6" s="251"/>
      <c r="E6" s="73">
        <f>SUM(B6:D6)</f>
        <v>0</v>
      </c>
      <c r="G6" s="252">
        <v>0.02</v>
      </c>
      <c r="H6" s="253">
        <v>0.12180000000000001</v>
      </c>
      <c r="I6" s="254">
        <f>+H6+G6</f>
        <v>0.14180000000000001</v>
      </c>
      <c r="J6" s="255">
        <f>IF(E6&lt;0,0,E6*I6/365)</f>
        <v>0</v>
      </c>
      <c r="K6" s="312">
        <f>+E6-K3</f>
        <v>0</v>
      </c>
    </row>
    <row r="7" spans="1:11" x14ac:dyDescent="0.3">
      <c r="A7" s="324">
        <f>+A6+1</f>
        <v>46205</v>
      </c>
      <c r="B7" s="327">
        <v>0</v>
      </c>
      <c r="C7" s="325"/>
      <c r="D7" s="251"/>
      <c r="E7" s="73">
        <f t="shared" ref="E7:E32" si="0">SUM(B7:D7)</f>
        <v>0</v>
      </c>
      <c r="G7" s="256">
        <f>+G6</f>
        <v>0.02</v>
      </c>
      <c r="H7" s="253">
        <v>0.12180000000000001</v>
      </c>
      <c r="I7" s="254">
        <f>+H7+G7</f>
        <v>0.14180000000000001</v>
      </c>
      <c r="J7" s="255">
        <f t="shared" ref="J7:J32" si="1">IF(E7&lt;0,0,E7*I7/365)</f>
        <v>0</v>
      </c>
      <c r="K7" s="74">
        <f>+E7-E6</f>
        <v>0</v>
      </c>
    </row>
    <row r="8" spans="1:11" s="359" customFormat="1" x14ac:dyDescent="0.3">
      <c r="A8" s="469">
        <f t="shared" ref="A8:A36" si="2">+A7+1</f>
        <v>46206</v>
      </c>
      <c r="B8" s="327">
        <v>0</v>
      </c>
      <c r="C8" s="470"/>
      <c r="D8" s="327"/>
      <c r="E8" s="313">
        <f t="shared" si="0"/>
        <v>0</v>
      </c>
      <c r="G8" s="360">
        <f t="shared" ref="G8:G36" si="3">+G7</f>
        <v>0.02</v>
      </c>
      <c r="H8" s="253">
        <v>0.12180000000000001</v>
      </c>
      <c r="I8" s="361">
        <f t="shared" ref="I8:I32" si="4">+H8+G8</f>
        <v>0.14180000000000001</v>
      </c>
      <c r="J8" s="362">
        <f t="shared" si="1"/>
        <v>0</v>
      </c>
      <c r="K8" s="363">
        <f t="shared" ref="K8:K32" si="5">+E8-E7</f>
        <v>0</v>
      </c>
    </row>
    <row r="9" spans="1:11" x14ac:dyDescent="0.3">
      <c r="A9" s="324">
        <f t="shared" si="2"/>
        <v>46207</v>
      </c>
      <c r="B9" s="327">
        <v>0</v>
      </c>
      <c r="C9" s="325"/>
      <c r="D9" s="251"/>
      <c r="E9" s="73">
        <f t="shared" si="0"/>
        <v>0</v>
      </c>
      <c r="G9" s="256">
        <f t="shared" si="3"/>
        <v>0.02</v>
      </c>
      <c r="H9" s="253">
        <v>0.12180000000000001</v>
      </c>
      <c r="I9" s="254">
        <f t="shared" si="4"/>
        <v>0.14180000000000001</v>
      </c>
      <c r="J9" s="255">
        <f t="shared" si="1"/>
        <v>0</v>
      </c>
      <c r="K9" s="74">
        <f t="shared" si="5"/>
        <v>0</v>
      </c>
    </row>
    <row r="10" spans="1:11" x14ac:dyDescent="0.3">
      <c r="A10" s="232">
        <f t="shared" si="2"/>
        <v>46208</v>
      </c>
      <c r="B10" s="327">
        <v>0</v>
      </c>
      <c r="C10" s="73"/>
      <c r="D10" s="73"/>
      <c r="E10" s="73">
        <f t="shared" si="0"/>
        <v>0</v>
      </c>
      <c r="G10" s="256">
        <f t="shared" si="3"/>
        <v>0.02</v>
      </c>
      <c r="H10" s="253">
        <v>0.12180000000000001</v>
      </c>
      <c r="I10" s="254">
        <f t="shared" si="4"/>
        <v>0.14180000000000001</v>
      </c>
      <c r="J10" s="255">
        <f t="shared" si="1"/>
        <v>0</v>
      </c>
      <c r="K10" s="74">
        <f t="shared" si="5"/>
        <v>0</v>
      </c>
    </row>
    <row r="11" spans="1:11" x14ac:dyDescent="0.3">
      <c r="A11" s="232">
        <f t="shared" si="2"/>
        <v>46209</v>
      </c>
      <c r="B11" s="327">
        <v>0</v>
      </c>
      <c r="C11" s="73"/>
      <c r="D11" s="73"/>
      <c r="E11" s="73">
        <f t="shared" si="0"/>
        <v>0</v>
      </c>
      <c r="G11" s="256">
        <f t="shared" si="3"/>
        <v>0.02</v>
      </c>
      <c r="H11" s="253">
        <v>0.12180000000000001</v>
      </c>
      <c r="I11" s="254">
        <f t="shared" si="4"/>
        <v>0.14180000000000001</v>
      </c>
      <c r="J11" s="255">
        <f t="shared" si="1"/>
        <v>0</v>
      </c>
      <c r="K11" s="74">
        <f t="shared" si="5"/>
        <v>0</v>
      </c>
    </row>
    <row r="12" spans="1:11" x14ac:dyDescent="0.3">
      <c r="A12" s="232">
        <f t="shared" si="2"/>
        <v>46210</v>
      </c>
      <c r="B12" s="327">
        <v>0</v>
      </c>
      <c r="C12" s="73"/>
      <c r="D12" s="73"/>
      <c r="E12" s="73">
        <f t="shared" si="0"/>
        <v>0</v>
      </c>
      <c r="G12" s="256">
        <f t="shared" si="3"/>
        <v>0.02</v>
      </c>
      <c r="H12" s="253">
        <v>0.12180000000000001</v>
      </c>
      <c r="I12" s="254">
        <f t="shared" si="4"/>
        <v>0.14180000000000001</v>
      </c>
      <c r="J12" s="255">
        <f t="shared" si="1"/>
        <v>0</v>
      </c>
      <c r="K12" s="74">
        <f t="shared" si="5"/>
        <v>0</v>
      </c>
    </row>
    <row r="13" spans="1:11" x14ac:dyDescent="0.3">
      <c r="A13" s="232">
        <f t="shared" si="2"/>
        <v>46211</v>
      </c>
      <c r="B13" s="327">
        <v>0</v>
      </c>
      <c r="C13" s="73"/>
      <c r="D13" s="73"/>
      <c r="E13" s="73">
        <f t="shared" si="0"/>
        <v>0</v>
      </c>
      <c r="G13" s="256">
        <f t="shared" si="3"/>
        <v>0.02</v>
      </c>
      <c r="H13" s="253">
        <v>0.12180000000000001</v>
      </c>
      <c r="I13" s="254">
        <f t="shared" si="4"/>
        <v>0.14180000000000001</v>
      </c>
      <c r="J13" s="255">
        <f t="shared" si="1"/>
        <v>0</v>
      </c>
      <c r="K13" s="74">
        <f t="shared" si="5"/>
        <v>0</v>
      </c>
    </row>
    <row r="14" spans="1:11" x14ac:dyDescent="0.3">
      <c r="A14" s="232">
        <f t="shared" si="2"/>
        <v>46212</v>
      </c>
      <c r="B14" s="327">
        <v>0</v>
      </c>
      <c r="C14" s="73"/>
      <c r="D14" s="73"/>
      <c r="E14" s="73">
        <f t="shared" si="0"/>
        <v>0</v>
      </c>
      <c r="G14" s="256">
        <f t="shared" si="3"/>
        <v>0.02</v>
      </c>
      <c r="H14" s="253">
        <v>0.12180000000000001</v>
      </c>
      <c r="I14" s="254">
        <f t="shared" si="4"/>
        <v>0.14180000000000001</v>
      </c>
      <c r="J14" s="255">
        <f t="shared" si="1"/>
        <v>0</v>
      </c>
      <c r="K14" s="74">
        <f t="shared" si="5"/>
        <v>0</v>
      </c>
    </row>
    <row r="15" spans="1:11" x14ac:dyDescent="0.3">
      <c r="A15" s="232">
        <f t="shared" si="2"/>
        <v>46213</v>
      </c>
      <c r="B15" s="327">
        <v>0</v>
      </c>
      <c r="C15" s="257"/>
      <c r="D15" s="73"/>
      <c r="E15" s="73">
        <f t="shared" si="0"/>
        <v>0</v>
      </c>
      <c r="G15" s="256">
        <f t="shared" si="3"/>
        <v>0.02</v>
      </c>
      <c r="H15" s="253">
        <v>0.12180000000000001</v>
      </c>
      <c r="I15" s="254">
        <f t="shared" si="4"/>
        <v>0.14180000000000001</v>
      </c>
      <c r="J15" s="255">
        <f t="shared" si="1"/>
        <v>0</v>
      </c>
      <c r="K15" s="74">
        <f t="shared" si="5"/>
        <v>0</v>
      </c>
    </row>
    <row r="16" spans="1:11" s="359" customFormat="1" x14ac:dyDescent="0.3">
      <c r="A16" s="357">
        <f t="shared" si="2"/>
        <v>46214</v>
      </c>
      <c r="B16" s="327">
        <v>0</v>
      </c>
      <c r="C16" s="358"/>
      <c r="D16" s="313"/>
      <c r="E16" s="73">
        <f t="shared" si="0"/>
        <v>0</v>
      </c>
      <c r="G16" s="360">
        <f t="shared" si="3"/>
        <v>0.02</v>
      </c>
      <c r="H16" s="253">
        <v>0.12180000000000001</v>
      </c>
      <c r="I16" s="361">
        <f t="shared" si="4"/>
        <v>0.14180000000000001</v>
      </c>
      <c r="J16" s="255">
        <f t="shared" si="1"/>
        <v>0</v>
      </c>
      <c r="K16" s="363">
        <f t="shared" si="5"/>
        <v>0</v>
      </c>
    </row>
    <row r="17" spans="1:11" s="359" customFormat="1" x14ac:dyDescent="0.3">
      <c r="A17" s="357">
        <f t="shared" si="2"/>
        <v>46215</v>
      </c>
      <c r="B17" s="327">
        <v>0</v>
      </c>
      <c r="C17" s="358"/>
      <c r="D17" s="313"/>
      <c r="E17" s="73">
        <f t="shared" si="0"/>
        <v>0</v>
      </c>
      <c r="G17" s="360">
        <f t="shared" si="3"/>
        <v>0.02</v>
      </c>
      <c r="H17" s="253">
        <v>0.12180000000000001</v>
      </c>
      <c r="I17" s="361">
        <f t="shared" si="4"/>
        <v>0.14180000000000001</v>
      </c>
      <c r="J17" s="255">
        <f t="shared" si="1"/>
        <v>0</v>
      </c>
      <c r="K17" s="363">
        <f t="shared" si="5"/>
        <v>0</v>
      </c>
    </row>
    <row r="18" spans="1:11" s="359" customFormat="1" x14ac:dyDescent="0.3">
      <c r="A18" s="357">
        <f t="shared" si="2"/>
        <v>46216</v>
      </c>
      <c r="B18" s="327">
        <v>0</v>
      </c>
      <c r="C18" s="358"/>
      <c r="D18" s="313"/>
      <c r="E18" s="73">
        <f t="shared" si="0"/>
        <v>0</v>
      </c>
      <c r="G18" s="360">
        <f t="shared" si="3"/>
        <v>0.02</v>
      </c>
      <c r="H18" s="253">
        <v>0.12180000000000001</v>
      </c>
      <c r="I18" s="361">
        <f t="shared" si="4"/>
        <v>0.14180000000000001</v>
      </c>
      <c r="J18" s="255">
        <f t="shared" si="1"/>
        <v>0</v>
      </c>
      <c r="K18" s="363">
        <f t="shared" si="5"/>
        <v>0</v>
      </c>
    </row>
    <row r="19" spans="1:11" x14ac:dyDescent="0.3">
      <c r="A19" s="232">
        <f t="shared" si="2"/>
        <v>46217</v>
      </c>
      <c r="B19" s="327">
        <v>0</v>
      </c>
      <c r="C19" s="257"/>
      <c r="D19" s="73"/>
      <c r="E19" s="73">
        <f t="shared" si="0"/>
        <v>0</v>
      </c>
      <c r="G19" s="256">
        <f t="shared" si="3"/>
        <v>0.02</v>
      </c>
      <c r="H19" s="253">
        <v>0.12180000000000001</v>
      </c>
      <c r="I19" s="254">
        <f t="shared" si="4"/>
        <v>0.14180000000000001</v>
      </c>
      <c r="J19" s="255">
        <f t="shared" si="1"/>
        <v>0</v>
      </c>
      <c r="K19" s="74">
        <f t="shared" si="5"/>
        <v>0</v>
      </c>
    </row>
    <row r="20" spans="1:11" x14ac:dyDescent="0.3">
      <c r="A20" s="232">
        <f t="shared" si="2"/>
        <v>46218</v>
      </c>
      <c r="B20" s="327">
        <v>0</v>
      </c>
      <c r="C20" s="257"/>
      <c r="D20" s="73"/>
      <c r="E20" s="73">
        <f t="shared" si="0"/>
        <v>0</v>
      </c>
      <c r="G20" s="256">
        <f t="shared" si="3"/>
        <v>0.02</v>
      </c>
      <c r="H20" s="253">
        <v>0.12180000000000001</v>
      </c>
      <c r="I20" s="254">
        <f t="shared" si="4"/>
        <v>0.14180000000000001</v>
      </c>
      <c r="J20" s="255">
        <f t="shared" si="1"/>
        <v>0</v>
      </c>
      <c r="K20" s="74">
        <f t="shared" si="5"/>
        <v>0</v>
      </c>
    </row>
    <row r="21" spans="1:11" x14ac:dyDescent="0.3">
      <c r="A21" s="232">
        <f t="shared" si="2"/>
        <v>46219</v>
      </c>
      <c r="B21" s="327">
        <v>0</v>
      </c>
      <c r="C21" s="257"/>
      <c r="D21" s="73"/>
      <c r="E21" s="73">
        <f t="shared" si="0"/>
        <v>0</v>
      </c>
      <c r="G21" s="256">
        <f t="shared" si="3"/>
        <v>0.02</v>
      </c>
      <c r="H21" s="253">
        <v>0.12180000000000001</v>
      </c>
      <c r="I21" s="254">
        <f t="shared" si="4"/>
        <v>0.14180000000000001</v>
      </c>
      <c r="J21" s="255">
        <f t="shared" si="1"/>
        <v>0</v>
      </c>
      <c r="K21" s="74">
        <f t="shared" si="5"/>
        <v>0</v>
      </c>
    </row>
    <row r="22" spans="1:11" x14ac:dyDescent="0.3">
      <c r="A22" s="232">
        <f t="shared" si="2"/>
        <v>46220</v>
      </c>
      <c r="B22" s="327">
        <v>0</v>
      </c>
      <c r="C22" s="73"/>
      <c r="D22" s="73"/>
      <c r="E22" s="73">
        <f t="shared" si="0"/>
        <v>0</v>
      </c>
      <c r="G22" s="256">
        <f t="shared" si="3"/>
        <v>0.02</v>
      </c>
      <c r="H22" s="253">
        <v>0.12180000000000001</v>
      </c>
      <c r="I22" s="254">
        <f t="shared" si="4"/>
        <v>0.14180000000000001</v>
      </c>
      <c r="J22" s="255">
        <f t="shared" si="1"/>
        <v>0</v>
      </c>
      <c r="K22" s="74">
        <f t="shared" si="5"/>
        <v>0</v>
      </c>
    </row>
    <row r="23" spans="1:11" x14ac:dyDescent="0.3">
      <c r="A23" s="232">
        <f t="shared" si="2"/>
        <v>46221</v>
      </c>
      <c r="B23" s="327">
        <v>0</v>
      </c>
      <c r="C23" s="90"/>
      <c r="D23" s="73"/>
      <c r="E23" s="73">
        <f t="shared" si="0"/>
        <v>0</v>
      </c>
      <c r="G23" s="256">
        <f t="shared" si="3"/>
        <v>0.02</v>
      </c>
      <c r="H23" s="253">
        <v>0.12180000000000001</v>
      </c>
      <c r="I23" s="254">
        <f t="shared" si="4"/>
        <v>0.14180000000000001</v>
      </c>
      <c r="J23" s="255">
        <f t="shared" si="1"/>
        <v>0</v>
      </c>
      <c r="K23" s="74">
        <f t="shared" si="5"/>
        <v>0</v>
      </c>
    </row>
    <row r="24" spans="1:11" x14ac:dyDescent="0.3">
      <c r="A24" s="232">
        <f t="shared" si="2"/>
        <v>46222</v>
      </c>
      <c r="B24" s="327">
        <v>0</v>
      </c>
      <c r="C24" s="73"/>
      <c r="D24" s="73"/>
      <c r="E24" s="73">
        <f t="shared" si="0"/>
        <v>0</v>
      </c>
      <c r="G24" s="256">
        <f t="shared" si="3"/>
        <v>0.02</v>
      </c>
      <c r="H24" s="253">
        <v>0.12180000000000001</v>
      </c>
      <c r="I24" s="254">
        <f t="shared" si="4"/>
        <v>0.14180000000000001</v>
      </c>
      <c r="J24" s="255">
        <f t="shared" si="1"/>
        <v>0</v>
      </c>
      <c r="K24" s="74">
        <f t="shared" si="5"/>
        <v>0</v>
      </c>
    </row>
    <row r="25" spans="1:11" x14ac:dyDescent="0.3">
      <c r="A25" s="232">
        <f t="shared" si="2"/>
        <v>46223</v>
      </c>
      <c r="B25" s="327">
        <v>0</v>
      </c>
      <c r="C25" s="73"/>
      <c r="D25" s="73"/>
      <c r="E25" s="73">
        <f t="shared" si="0"/>
        <v>0</v>
      </c>
      <c r="G25" s="256">
        <f t="shared" si="3"/>
        <v>0.02</v>
      </c>
      <c r="H25" s="253">
        <v>0.12180000000000001</v>
      </c>
      <c r="I25" s="254">
        <f t="shared" si="4"/>
        <v>0.14180000000000001</v>
      </c>
      <c r="J25" s="255">
        <f t="shared" si="1"/>
        <v>0</v>
      </c>
      <c r="K25" s="74">
        <f t="shared" si="5"/>
        <v>0</v>
      </c>
    </row>
    <row r="26" spans="1:11" x14ac:dyDescent="0.3">
      <c r="A26" s="232">
        <f t="shared" si="2"/>
        <v>46224</v>
      </c>
      <c r="B26" s="327">
        <v>0</v>
      </c>
      <c r="C26" s="73"/>
      <c r="D26" s="73"/>
      <c r="E26" s="73">
        <f t="shared" si="0"/>
        <v>0</v>
      </c>
      <c r="G26" s="256">
        <f t="shared" si="3"/>
        <v>0.02</v>
      </c>
      <c r="H26" s="253">
        <v>0.12180000000000001</v>
      </c>
      <c r="I26" s="254">
        <f t="shared" si="4"/>
        <v>0.14180000000000001</v>
      </c>
      <c r="J26" s="255">
        <f t="shared" si="1"/>
        <v>0</v>
      </c>
      <c r="K26" s="74">
        <f t="shared" si="5"/>
        <v>0</v>
      </c>
    </row>
    <row r="27" spans="1:11" x14ac:dyDescent="0.3">
      <c r="A27" s="232">
        <f t="shared" si="2"/>
        <v>46225</v>
      </c>
      <c r="B27" s="327">
        <v>0</v>
      </c>
      <c r="C27" s="73"/>
      <c r="D27" s="73"/>
      <c r="E27" s="73">
        <f t="shared" si="0"/>
        <v>0</v>
      </c>
      <c r="G27" s="256">
        <f t="shared" si="3"/>
        <v>0.02</v>
      </c>
      <c r="H27" s="253">
        <v>0.12180000000000001</v>
      </c>
      <c r="I27" s="254">
        <f t="shared" si="4"/>
        <v>0.14180000000000001</v>
      </c>
      <c r="J27" s="255">
        <f t="shared" si="1"/>
        <v>0</v>
      </c>
      <c r="K27" s="74">
        <f t="shared" si="5"/>
        <v>0</v>
      </c>
    </row>
    <row r="28" spans="1:11" x14ac:dyDescent="0.3">
      <c r="A28" s="232">
        <f t="shared" si="2"/>
        <v>46226</v>
      </c>
      <c r="B28" s="327">
        <v>0</v>
      </c>
      <c r="C28" s="73"/>
      <c r="D28" s="73"/>
      <c r="E28" s="73">
        <f t="shared" si="0"/>
        <v>0</v>
      </c>
      <c r="G28" s="256">
        <f t="shared" si="3"/>
        <v>0.02</v>
      </c>
      <c r="H28" s="253">
        <v>0.12180000000000001</v>
      </c>
      <c r="I28" s="254">
        <f t="shared" si="4"/>
        <v>0.14180000000000001</v>
      </c>
      <c r="J28" s="255">
        <f t="shared" si="1"/>
        <v>0</v>
      </c>
      <c r="K28" s="74">
        <f t="shared" si="5"/>
        <v>0</v>
      </c>
    </row>
    <row r="29" spans="1:11" x14ac:dyDescent="0.3">
      <c r="A29" s="232">
        <f t="shared" si="2"/>
        <v>46227</v>
      </c>
      <c r="B29" s="327">
        <v>0</v>
      </c>
      <c r="C29" s="73"/>
      <c r="D29" s="73"/>
      <c r="E29" s="73">
        <f t="shared" si="0"/>
        <v>0</v>
      </c>
      <c r="G29" s="256">
        <f t="shared" si="3"/>
        <v>0.02</v>
      </c>
      <c r="H29" s="253">
        <v>0.12180000000000001</v>
      </c>
      <c r="I29" s="254">
        <f t="shared" si="4"/>
        <v>0.14180000000000001</v>
      </c>
      <c r="J29" s="255">
        <f t="shared" si="1"/>
        <v>0</v>
      </c>
      <c r="K29" s="74">
        <f t="shared" si="5"/>
        <v>0</v>
      </c>
    </row>
    <row r="30" spans="1:11" x14ac:dyDescent="0.3">
      <c r="A30" s="232">
        <f t="shared" si="2"/>
        <v>46228</v>
      </c>
      <c r="B30" s="327">
        <v>0</v>
      </c>
      <c r="C30" s="73"/>
      <c r="D30" s="73"/>
      <c r="E30" s="73">
        <f t="shared" si="0"/>
        <v>0</v>
      </c>
      <c r="G30" s="256">
        <f t="shared" si="3"/>
        <v>0.02</v>
      </c>
      <c r="H30" s="253">
        <v>0.12180000000000001</v>
      </c>
      <c r="I30" s="254">
        <f t="shared" si="4"/>
        <v>0.14180000000000001</v>
      </c>
      <c r="J30" s="255">
        <f t="shared" si="1"/>
        <v>0</v>
      </c>
      <c r="K30" s="74">
        <f t="shared" si="5"/>
        <v>0</v>
      </c>
    </row>
    <row r="31" spans="1:11" x14ac:dyDescent="0.3">
      <c r="A31" s="232">
        <f t="shared" si="2"/>
        <v>46229</v>
      </c>
      <c r="B31" s="327">
        <v>0</v>
      </c>
      <c r="C31" s="73"/>
      <c r="D31" s="73"/>
      <c r="E31" s="73">
        <f t="shared" si="0"/>
        <v>0</v>
      </c>
      <c r="G31" s="256">
        <f t="shared" si="3"/>
        <v>0.02</v>
      </c>
      <c r="H31" s="253">
        <v>0.12180000000000001</v>
      </c>
      <c r="I31" s="254">
        <f t="shared" si="4"/>
        <v>0.14180000000000001</v>
      </c>
      <c r="J31" s="255">
        <f t="shared" si="1"/>
        <v>0</v>
      </c>
      <c r="K31" s="74">
        <f t="shared" si="5"/>
        <v>0</v>
      </c>
    </row>
    <row r="32" spans="1:11" x14ac:dyDescent="0.3">
      <c r="A32" s="232">
        <f t="shared" si="2"/>
        <v>46230</v>
      </c>
      <c r="B32" s="327">
        <v>0</v>
      </c>
      <c r="C32" s="73"/>
      <c r="D32" s="73"/>
      <c r="E32" s="73">
        <f t="shared" si="0"/>
        <v>0</v>
      </c>
      <c r="G32" s="256">
        <f t="shared" si="3"/>
        <v>0.02</v>
      </c>
      <c r="H32" s="253">
        <v>0.12180000000000001</v>
      </c>
      <c r="I32" s="254">
        <f t="shared" si="4"/>
        <v>0.14180000000000001</v>
      </c>
      <c r="J32" s="255">
        <f t="shared" si="1"/>
        <v>0</v>
      </c>
      <c r="K32" s="74">
        <f t="shared" si="5"/>
        <v>0</v>
      </c>
    </row>
    <row r="33" spans="1:11" x14ac:dyDescent="0.3">
      <c r="A33" s="232">
        <f t="shared" si="2"/>
        <v>46231</v>
      </c>
      <c r="B33" s="327">
        <v>0</v>
      </c>
      <c r="C33" s="73"/>
      <c r="D33" s="73"/>
      <c r="E33" s="73">
        <f>SUM(B33:D33)</f>
        <v>0</v>
      </c>
      <c r="G33" s="256">
        <f t="shared" si="3"/>
        <v>0.02</v>
      </c>
      <c r="H33" s="253">
        <v>0.12180000000000001</v>
      </c>
      <c r="I33" s="254">
        <f>+H33+G33</f>
        <v>0.14180000000000001</v>
      </c>
      <c r="J33" s="255">
        <f>IF(E33&lt;0,0,E33*I33/365)</f>
        <v>0</v>
      </c>
      <c r="K33" s="74">
        <f>+E33-E32</f>
        <v>0</v>
      </c>
    </row>
    <row r="34" spans="1:11" x14ac:dyDescent="0.3">
      <c r="A34" s="232">
        <f t="shared" si="2"/>
        <v>46232</v>
      </c>
      <c r="B34" s="327">
        <v>0</v>
      </c>
      <c r="C34" s="73"/>
      <c r="D34" s="73"/>
      <c r="E34" s="73">
        <f>SUM(B34:D34)</f>
        <v>0</v>
      </c>
      <c r="G34" s="256">
        <f t="shared" si="3"/>
        <v>0.02</v>
      </c>
      <c r="H34" s="253">
        <v>0.12180000000000001</v>
      </c>
      <c r="I34" s="254">
        <f>+H34+G34</f>
        <v>0.14180000000000001</v>
      </c>
      <c r="J34" s="255">
        <f>IF(E34&lt;0,0,E34*I34/365)</f>
        <v>0</v>
      </c>
      <c r="K34" s="74">
        <f>+E34-E33</f>
        <v>0</v>
      </c>
    </row>
    <row r="35" spans="1:11" x14ac:dyDescent="0.3">
      <c r="A35" s="232">
        <f t="shared" si="2"/>
        <v>46233</v>
      </c>
      <c r="B35" s="327">
        <v>0</v>
      </c>
      <c r="C35" s="73"/>
      <c r="D35" s="73"/>
      <c r="E35" s="73">
        <f>SUM(B35:D35)</f>
        <v>0</v>
      </c>
      <c r="G35" s="256">
        <f t="shared" si="3"/>
        <v>0.02</v>
      </c>
      <c r="H35" s="253">
        <v>0.12180000000000001</v>
      </c>
      <c r="I35" s="254">
        <f>+H35+G35</f>
        <v>0.14180000000000001</v>
      </c>
      <c r="J35" s="255">
        <f>IF(E35&lt;0,0,E35*I35/365)</f>
        <v>0</v>
      </c>
      <c r="K35" s="74">
        <f>+E35-E34</f>
        <v>0</v>
      </c>
    </row>
    <row r="36" spans="1:11" x14ac:dyDescent="0.3">
      <c r="A36" s="232">
        <f t="shared" si="2"/>
        <v>46234</v>
      </c>
      <c r="B36" s="327">
        <v>0</v>
      </c>
      <c r="C36" s="73"/>
      <c r="D36" s="73"/>
      <c r="E36" s="73">
        <f>SUM(B36:D36)</f>
        <v>0</v>
      </c>
      <c r="G36" s="256">
        <f t="shared" si="3"/>
        <v>0.02</v>
      </c>
      <c r="H36" s="253">
        <v>0.12180000000000001</v>
      </c>
      <c r="I36" s="254">
        <f>+H36+G36</f>
        <v>0.14180000000000001</v>
      </c>
      <c r="J36" s="255">
        <f>IF(E36&lt;0,0,E36*I36/365)</f>
        <v>0</v>
      </c>
      <c r="K36" s="74">
        <f>+E36-E35</f>
        <v>0</v>
      </c>
    </row>
    <row r="37" spans="1:11" x14ac:dyDescent="0.3">
      <c r="G37" s="258" t="s">
        <v>18</v>
      </c>
      <c r="H37" s="259"/>
      <c r="I37" s="19"/>
      <c r="J37" s="260">
        <f>SUM(J6:J36)</f>
        <v>0</v>
      </c>
    </row>
    <row r="38" spans="1:11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1" x14ac:dyDescent="0.3">
      <c r="G39" s="783" t="s">
        <v>24</v>
      </c>
      <c r="H39" s="783"/>
      <c r="I39" s="783"/>
    </row>
    <row r="40" spans="1:11" x14ac:dyDescent="0.3">
      <c r="G40" s="784"/>
      <c r="H40" s="784"/>
      <c r="I40" s="784"/>
      <c r="J40" s="261" t="s">
        <v>0</v>
      </c>
    </row>
    <row r="41" spans="1:11" x14ac:dyDescent="0.3">
      <c r="G41" s="785" t="s">
        <v>19</v>
      </c>
      <c r="H41" s="785"/>
      <c r="I41" s="785"/>
      <c r="J41" s="265"/>
      <c r="K41" s="189"/>
    </row>
    <row r="42" spans="1:11" ht="15" x14ac:dyDescent="0.35">
      <c r="G42" s="803" t="s">
        <v>40</v>
      </c>
      <c r="H42" s="803"/>
      <c r="I42" s="803"/>
      <c r="J42" s="262"/>
      <c r="K42" s="189"/>
    </row>
    <row r="43" spans="1:11" x14ac:dyDescent="0.3">
      <c r="B43" s="2"/>
      <c r="D43" s="2"/>
      <c r="G43" s="787" t="str">
        <f>IF(J43&lt;0,"Excess Provision to be Reversed","Additional Provision Required")</f>
        <v>Additional Provision Required</v>
      </c>
      <c r="H43" s="787"/>
      <c r="I43" s="787"/>
      <c r="J43" s="263">
        <f>IF(J42=0,0,J42-J41)-J37</f>
        <v>0</v>
      </c>
    </row>
    <row r="44" spans="1:11" x14ac:dyDescent="0.3">
      <c r="G44" s="784"/>
      <c r="H44" s="784"/>
      <c r="I44" s="784"/>
      <c r="J44" s="784"/>
    </row>
    <row r="45" spans="1:11" ht="16.2" customHeight="1" thickBot="1" x14ac:dyDescent="0.35">
      <c r="G45" s="780" t="s">
        <v>145</v>
      </c>
      <c r="H45" s="780"/>
      <c r="I45" s="780"/>
      <c r="J45" s="264">
        <f>J37+J43</f>
        <v>0</v>
      </c>
    </row>
    <row r="46" spans="1:11" x14ac:dyDescent="0.3">
      <c r="G46" s="781"/>
      <c r="H46" s="781"/>
      <c r="I46" s="781"/>
      <c r="J46" s="781"/>
    </row>
    <row r="47" spans="1:11" x14ac:dyDescent="0.3">
      <c r="G47" s="782" t="s">
        <v>33</v>
      </c>
      <c r="H47" s="782"/>
      <c r="I47" s="782"/>
      <c r="J47" s="265">
        <f>J41+J45-J42</f>
        <v>0</v>
      </c>
    </row>
    <row r="49" spans="10:10" x14ac:dyDescent="0.3">
      <c r="J49" s="312"/>
    </row>
  </sheetData>
  <mergeCells count="15">
    <mergeCell ref="A1:J1"/>
    <mergeCell ref="A2:I2"/>
    <mergeCell ref="A3:J3"/>
    <mergeCell ref="A4:A5"/>
    <mergeCell ref="H4:H5"/>
    <mergeCell ref="A38:J38"/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</mergeCells>
  <printOptions horizontalCentered="1" verticalCentered="1"/>
  <pageMargins left="0.75" right="0.75" top="0.5" bottom="0.5" header="0.5" footer="0.5"/>
  <pageSetup scale="80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ABAA-652B-4A6C-9091-AF284E4748FB}">
  <sheetPr>
    <pageSetUpPr fitToPage="1"/>
  </sheetPr>
  <dimension ref="A1:O91"/>
  <sheetViews>
    <sheetView showGridLines="0" topLeftCell="A66" zoomScaleNormal="100" workbookViewId="0">
      <selection activeCell="A91" sqref="A91"/>
    </sheetView>
  </sheetViews>
  <sheetFormatPr defaultColWidth="10.6328125" defaultRowHeight="13.8" x14ac:dyDescent="0.3"/>
  <cols>
    <col min="1" max="1" width="13.54296875" style="2" customWidth="1"/>
    <col min="2" max="2" width="13.81640625" style="227" customWidth="1"/>
    <col min="3" max="3" width="11.6328125" style="2" customWidth="1"/>
    <col min="4" max="4" width="3.08984375" style="64" customWidth="1"/>
    <col min="5" max="5" width="10.6328125" style="2"/>
    <col min="6" max="6" width="8.26953125" style="2" customWidth="1"/>
    <col min="7" max="7" width="10.6328125" style="2"/>
    <col min="8" max="8" width="1.08984375" style="2" customWidth="1"/>
    <col min="9" max="9" width="1.1796875" style="2" customWidth="1"/>
    <col min="10" max="10" width="13.81640625" style="2" bestFit="1" customWidth="1"/>
    <col min="11" max="11" width="4.54296875" style="2" bestFit="1" customWidth="1"/>
    <col min="12" max="12" width="9.90625" style="2" bestFit="1" customWidth="1"/>
    <col min="13" max="13" width="11" style="2" bestFit="1" customWidth="1"/>
    <col min="14" max="14" width="9" style="2" bestFit="1" customWidth="1"/>
    <col min="15" max="15" width="5.54296875" style="2" bestFit="1" customWidth="1"/>
    <col min="16" max="16384" width="10.6328125" style="2"/>
  </cols>
  <sheetData>
    <row r="1" spans="1:15" ht="18" x14ac:dyDescent="0.35">
      <c r="A1" s="788" t="s">
        <v>152</v>
      </c>
      <c r="B1" s="788"/>
      <c r="C1" s="788"/>
      <c r="D1" s="186"/>
    </row>
    <row r="2" spans="1:15" ht="18.600000000000001" thickBot="1" x14ac:dyDescent="0.4">
      <c r="A2" s="84" t="s">
        <v>250</v>
      </c>
      <c r="B2" s="542"/>
      <c r="C2" s="58">
        <f>'FINANCIAL COST SUMMARY '!I2</f>
        <v>46204</v>
      </c>
      <c r="D2" s="559"/>
    </row>
    <row r="3" spans="1:15" x14ac:dyDescent="0.3">
      <c r="A3" s="798"/>
      <c r="B3" s="798"/>
      <c r="C3" s="798"/>
      <c r="D3" s="560"/>
    </row>
    <row r="4" spans="1:15" s="227" customFormat="1" x14ac:dyDescent="0.3">
      <c r="A4" s="804" t="s">
        <v>23</v>
      </c>
      <c r="B4" s="804"/>
      <c r="C4" s="804"/>
      <c r="D4" s="561"/>
    </row>
    <row r="5" spans="1:15" s="230" customFormat="1" ht="41.4" x14ac:dyDescent="0.3">
      <c r="A5" s="86" t="s">
        <v>4</v>
      </c>
      <c r="B5" s="328" t="s">
        <v>295</v>
      </c>
      <c r="C5" s="229" t="s">
        <v>0</v>
      </c>
      <c r="D5" s="562"/>
      <c r="J5" s="659" t="s">
        <v>292</v>
      </c>
      <c r="K5" s="659" t="s">
        <v>293</v>
      </c>
      <c r="L5" s="659" t="s">
        <v>220</v>
      </c>
      <c r="M5" s="659" t="s">
        <v>294</v>
      </c>
      <c r="N5" s="659" t="s">
        <v>162</v>
      </c>
      <c r="O5" s="709" t="s">
        <v>296</v>
      </c>
    </row>
    <row r="6" spans="1:15" x14ac:dyDescent="0.3">
      <c r="A6" s="232">
        <v>45839</v>
      </c>
      <c r="B6" s="73">
        <v>0</v>
      </c>
      <c r="C6" s="73">
        <f t="shared" ref="C6:C34" si="0">SUM(B6:B6)</f>
        <v>0</v>
      </c>
      <c r="D6" s="563"/>
      <c r="E6" s="97">
        <v>46017</v>
      </c>
      <c r="F6" s="2">
        <v>180</v>
      </c>
      <c r="G6" s="97">
        <f>E6+F6</f>
        <v>46197</v>
      </c>
      <c r="J6" s="706">
        <v>45951</v>
      </c>
      <c r="K6" s="472">
        <v>180</v>
      </c>
      <c r="L6" s="706">
        <f>J6+K6</f>
        <v>46131</v>
      </c>
      <c r="M6" s="710">
        <f>B6</f>
        <v>0</v>
      </c>
      <c r="N6" s="664">
        <f>M6*B40*K6/365</f>
        <v>0</v>
      </c>
      <c r="O6" s="711">
        <f>B40</f>
        <v>0.11399999999999999</v>
      </c>
    </row>
    <row r="7" spans="1:15" x14ac:dyDescent="0.3">
      <c r="A7" s="232">
        <f>+A6+1</f>
        <v>45840</v>
      </c>
      <c r="B7" s="73">
        <v>0</v>
      </c>
      <c r="C7" s="73">
        <f t="shared" si="0"/>
        <v>0</v>
      </c>
      <c r="D7" s="563"/>
      <c r="J7" s="706"/>
      <c r="K7" s="472"/>
      <c r="L7" s="706"/>
      <c r="M7" s="710"/>
      <c r="N7" s="664"/>
      <c r="O7" s="711"/>
    </row>
    <row r="8" spans="1:15" x14ac:dyDescent="0.3">
      <c r="A8" s="232">
        <f t="shared" ref="A8:A36" si="1">+A7+1</f>
        <v>45841</v>
      </c>
      <c r="B8" s="73">
        <v>0</v>
      </c>
      <c r="C8" s="73">
        <f t="shared" si="0"/>
        <v>0</v>
      </c>
      <c r="D8" s="563"/>
    </row>
    <row r="9" spans="1:15" x14ac:dyDescent="0.3">
      <c r="A9" s="232">
        <f t="shared" si="1"/>
        <v>45842</v>
      </c>
      <c r="B9" s="73">
        <v>0</v>
      </c>
      <c r="C9" s="73">
        <f t="shared" si="0"/>
        <v>0</v>
      </c>
      <c r="D9" s="563"/>
    </row>
    <row r="10" spans="1:15" x14ac:dyDescent="0.3">
      <c r="A10" s="232">
        <f t="shared" si="1"/>
        <v>45843</v>
      </c>
      <c r="B10" s="73">
        <v>0</v>
      </c>
      <c r="C10" s="73">
        <f t="shared" si="0"/>
        <v>0</v>
      </c>
      <c r="D10" s="563"/>
    </row>
    <row r="11" spans="1:15" x14ac:dyDescent="0.3">
      <c r="A11" s="232">
        <f t="shared" si="1"/>
        <v>45844</v>
      </c>
      <c r="B11" s="73">
        <v>0</v>
      </c>
      <c r="C11" s="73">
        <f t="shared" si="0"/>
        <v>0</v>
      </c>
      <c r="D11" s="563"/>
    </row>
    <row r="12" spans="1:15" x14ac:dyDescent="0.3">
      <c r="A12" s="232">
        <f t="shared" si="1"/>
        <v>45845</v>
      </c>
      <c r="B12" s="73">
        <v>0</v>
      </c>
      <c r="C12" s="73">
        <f t="shared" si="0"/>
        <v>0</v>
      </c>
      <c r="D12" s="563"/>
    </row>
    <row r="13" spans="1:15" x14ac:dyDescent="0.3">
      <c r="A13" s="232">
        <f t="shared" si="1"/>
        <v>45846</v>
      </c>
      <c r="B13" s="73">
        <v>0</v>
      </c>
      <c r="C13" s="73">
        <f t="shared" si="0"/>
        <v>0</v>
      </c>
      <c r="D13" s="563"/>
    </row>
    <row r="14" spans="1:15" x14ac:dyDescent="0.3">
      <c r="A14" s="232">
        <f t="shared" si="1"/>
        <v>45847</v>
      </c>
      <c r="B14" s="73">
        <v>0</v>
      </c>
      <c r="C14" s="73">
        <f t="shared" si="0"/>
        <v>0</v>
      </c>
      <c r="D14" s="563"/>
    </row>
    <row r="15" spans="1:15" x14ac:dyDescent="0.3">
      <c r="A15" s="232">
        <f t="shared" si="1"/>
        <v>45848</v>
      </c>
      <c r="B15" s="73">
        <v>0</v>
      </c>
      <c r="C15" s="73">
        <f t="shared" si="0"/>
        <v>0</v>
      </c>
      <c r="D15" s="563"/>
    </row>
    <row r="16" spans="1:15" x14ac:dyDescent="0.3">
      <c r="A16" s="232">
        <f t="shared" si="1"/>
        <v>45849</v>
      </c>
      <c r="B16" s="73">
        <v>0</v>
      </c>
      <c r="C16" s="73">
        <f t="shared" si="0"/>
        <v>0</v>
      </c>
      <c r="D16" s="563"/>
      <c r="E16" s="356"/>
    </row>
    <row r="17" spans="1:7" x14ac:dyDescent="0.3">
      <c r="A17" s="232">
        <f t="shared" si="1"/>
        <v>45850</v>
      </c>
      <c r="B17" s="73">
        <v>0</v>
      </c>
      <c r="C17" s="73">
        <f t="shared" si="0"/>
        <v>0</v>
      </c>
      <c r="D17" s="563"/>
      <c r="F17" s="1"/>
      <c r="G17" s="1"/>
    </row>
    <row r="18" spans="1:7" x14ac:dyDescent="0.3">
      <c r="A18" s="232">
        <f t="shared" si="1"/>
        <v>45851</v>
      </c>
      <c r="B18" s="73">
        <v>0</v>
      </c>
      <c r="C18" s="73">
        <f t="shared" si="0"/>
        <v>0</v>
      </c>
      <c r="D18" s="563"/>
    </row>
    <row r="19" spans="1:7" x14ac:dyDescent="0.3">
      <c r="A19" s="232">
        <f t="shared" si="1"/>
        <v>45852</v>
      </c>
      <c r="B19" s="73">
        <v>0</v>
      </c>
      <c r="C19" s="73">
        <f t="shared" si="0"/>
        <v>0</v>
      </c>
      <c r="D19" s="563"/>
    </row>
    <row r="20" spans="1:7" x14ac:dyDescent="0.3">
      <c r="A20" s="232">
        <f t="shared" si="1"/>
        <v>45853</v>
      </c>
      <c r="B20" s="73">
        <v>0</v>
      </c>
      <c r="C20" s="73">
        <f t="shared" si="0"/>
        <v>0</v>
      </c>
      <c r="D20" s="563"/>
    </row>
    <row r="21" spans="1:7" x14ac:dyDescent="0.3">
      <c r="A21" s="232">
        <f t="shared" si="1"/>
        <v>45854</v>
      </c>
      <c r="B21" s="73">
        <v>0</v>
      </c>
      <c r="C21" s="73">
        <f t="shared" si="0"/>
        <v>0</v>
      </c>
      <c r="D21" s="563"/>
    </row>
    <row r="22" spans="1:7" x14ac:dyDescent="0.3">
      <c r="A22" s="232">
        <f t="shared" si="1"/>
        <v>45855</v>
      </c>
      <c r="B22" s="73">
        <v>0</v>
      </c>
      <c r="C22" s="73">
        <f t="shared" si="0"/>
        <v>0</v>
      </c>
      <c r="D22" s="563"/>
    </row>
    <row r="23" spans="1:7" x14ac:dyDescent="0.3">
      <c r="A23" s="232">
        <f t="shared" si="1"/>
        <v>45856</v>
      </c>
      <c r="B23" s="73">
        <v>0</v>
      </c>
      <c r="C23" s="73">
        <f t="shared" si="0"/>
        <v>0</v>
      </c>
      <c r="D23" s="563"/>
    </row>
    <row r="24" spans="1:7" x14ac:dyDescent="0.3">
      <c r="A24" s="232">
        <f t="shared" si="1"/>
        <v>45857</v>
      </c>
      <c r="B24" s="73">
        <v>0</v>
      </c>
      <c r="C24" s="73">
        <f t="shared" si="0"/>
        <v>0</v>
      </c>
      <c r="D24" s="563"/>
    </row>
    <row r="25" spans="1:7" x14ac:dyDescent="0.3">
      <c r="A25" s="232">
        <f t="shared" si="1"/>
        <v>45858</v>
      </c>
      <c r="B25" s="73">
        <v>0</v>
      </c>
      <c r="C25" s="73">
        <f t="shared" si="0"/>
        <v>0</v>
      </c>
      <c r="D25" s="563"/>
    </row>
    <row r="26" spans="1:7" x14ac:dyDescent="0.3">
      <c r="A26" s="232">
        <f t="shared" si="1"/>
        <v>45859</v>
      </c>
      <c r="B26" s="73">
        <v>0</v>
      </c>
      <c r="C26" s="73">
        <f t="shared" si="0"/>
        <v>0</v>
      </c>
      <c r="D26" s="563"/>
      <c r="F26" s="1"/>
    </row>
    <row r="27" spans="1:7" x14ac:dyDescent="0.3">
      <c r="A27" s="232">
        <f t="shared" si="1"/>
        <v>45860</v>
      </c>
      <c r="B27" s="73">
        <v>0</v>
      </c>
      <c r="C27" s="73">
        <f t="shared" si="0"/>
        <v>0</v>
      </c>
      <c r="D27" s="563"/>
    </row>
    <row r="28" spans="1:7" x14ac:dyDescent="0.3">
      <c r="A28" s="232">
        <f t="shared" si="1"/>
        <v>45861</v>
      </c>
      <c r="B28" s="73">
        <v>0</v>
      </c>
      <c r="C28" s="73">
        <f t="shared" si="0"/>
        <v>0</v>
      </c>
      <c r="D28" s="563"/>
    </row>
    <row r="29" spans="1:7" x14ac:dyDescent="0.3">
      <c r="A29" s="232">
        <f t="shared" si="1"/>
        <v>45862</v>
      </c>
      <c r="B29" s="73">
        <v>0</v>
      </c>
      <c r="C29" s="73">
        <f t="shared" si="0"/>
        <v>0</v>
      </c>
      <c r="D29" s="563"/>
      <c r="E29" s="227"/>
    </row>
    <row r="30" spans="1:7" x14ac:dyDescent="0.3">
      <c r="A30" s="232">
        <f t="shared" si="1"/>
        <v>45863</v>
      </c>
      <c r="B30" s="73">
        <v>0</v>
      </c>
      <c r="C30" s="73">
        <f t="shared" si="0"/>
        <v>0</v>
      </c>
      <c r="D30" s="563"/>
    </row>
    <row r="31" spans="1:7" x14ac:dyDescent="0.3">
      <c r="A31" s="232">
        <f t="shared" si="1"/>
        <v>45864</v>
      </c>
      <c r="B31" s="73">
        <v>0</v>
      </c>
      <c r="C31" s="73">
        <f t="shared" si="0"/>
        <v>0</v>
      </c>
      <c r="D31" s="563"/>
    </row>
    <row r="32" spans="1:7" x14ac:dyDescent="0.3">
      <c r="A32" s="232">
        <f t="shared" si="1"/>
        <v>45865</v>
      </c>
      <c r="B32" s="73">
        <v>0</v>
      </c>
      <c r="C32" s="73">
        <f t="shared" si="0"/>
        <v>0</v>
      </c>
      <c r="D32" s="563"/>
    </row>
    <row r="33" spans="1:12" x14ac:dyDescent="0.3">
      <c r="A33" s="232">
        <f t="shared" si="1"/>
        <v>45866</v>
      </c>
      <c r="B33" s="73">
        <v>0</v>
      </c>
      <c r="C33" s="73">
        <f t="shared" si="0"/>
        <v>0</v>
      </c>
      <c r="D33" s="563"/>
    </row>
    <row r="34" spans="1:12" x14ac:dyDescent="0.3">
      <c r="A34" s="232">
        <f t="shared" si="1"/>
        <v>45867</v>
      </c>
      <c r="B34" s="73">
        <v>0</v>
      </c>
      <c r="C34" s="73">
        <f t="shared" si="0"/>
        <v>0</v>
      </c>
      <c r="D34" s="563"/>
    </row>
    <row r="35" spans="1:12" x14ac:dyDescent="0.3">
      <c r="A35" s="232">
        <f t="shared" si="1"/>
        <v>45868</v>
      </c>
      <c r="B35" s="73">
        <v>0</v>
      </c>
      <c r="C35" s="73">
        <f>SUM(B35:B35)</f>
        <v>0</v>
      </c>
      <c r="D35" s="563"/>
    </row>
    <row r="36" spans="1:12" x14ac:dyDescent="0.3">
      <c r="A36" s="232">
        <f t="shared" si="1"/>
        <v>45869</v>
      </c>
      <c r="B36" s="73">
        <v>0</v>
      </c>
      <c r="C36" s="73">
        <f>SUM(B36:B36)</f>
        <v>0</v>
      </c>
      <c r="D36" s="563"/>
    </row>
    <row r="37" spans="1:12" x14ac:dyDescent="0.3">
      <c r="A37" s="796"/>
      <c r="B37" s="796"/>
      <c r="C37" s="796"/>
      <c r="D37" s="558"/>
    </row>
    <row r="38" spans="1:12" x14ac:dyDescent="0.3">
      <c r="A38" s="799" t="s">
        <v>43</v>
      </c>
      <c r="B38" s="799"/>
      <c r="C38" s="799"/>
      <c r="D38" s="561"/>
    </row>
    <row r="39" spans="1:12" s="230" customFormat="1" ht="46.2" customHeight="1" x14ac:dyDescent="0.3">
      <c r="A39" s="86" t="s">
        <v>4</v>
      </c>
      <c r="B39" s="529" t="str">
        <f>B5</f>
        <v xml:space="preserve">
C.D 26.12.2025 M.D. 24.06.2026</v>
      </c>
      <c r="C39" s="229" t="s">
        <v>0</v>
      </c>
      <c r="D39" s="562"/>
      <c r="L39" s="2"/>
    </row>
    <row r="40" spans="1:12" s="105" customFormat="1" ht="27.6" x14ac:dyDescent="0.25">
      <c r="A40" s="316" t="s">
        <v>204</v>
      </c>
      <c r="B40" s="343">
        <f>10.65%+0.75%</f>
        <v>0.11399999999999999</v>
      </c>
      <c r="C40" s="233"/>
      <c r="D40" s="564"/>
    </row>
    <row r="41" spans="1:12" x14ac:dyDescent="0.3">
      <c r="A41" s="232">
        <f t="shared" ref="A41:A71" si="2">+A6</f>
        <v>45839</v>
      </c>
      <c r="B41" s="73">
        <f t="shared" ref="B41:B71" si="3">IF(B6&lt;0,0,B6*B$40/365)</f>
        <v>0</v>
      </c>
      <c r="C41" s="73">
        <f t="shared" ref="C41:C69" si="4">SUM(B41:B41)</f>
        <v>0</v>
      </c>
      <c r="D41" s="563"/>
    </row>
    <row r="42" spans="1:12" x14ac:dyDescent="0.3">
      <c r="A42" s="232">
        <f t="shared" si="2"/>
        <v>45840</v>
      </c>
      <c r="B42" s="73">
        <f t="shared" si="3"/>
        <v>0</v>
      </c>
      <c r="C42" s="73">
        <f t="shared" si="4"/>
        <v>0</v>
      </c>
      <c r="D42" s="563"/>
    </row>
    <row r="43" spans="1:12" x14ac:dyDescent="0.3">
      <c r="A43" s="232">
        <f t="shared" si="2"/>
        <v>45841</v>
      </c>
      <c r="B43" s="73">
        <f t="shared" si="3"/>
        <v>0</v>
      </c>
      <c r="C43" s="73">
        <f t="shared" si="4"/>
        <v>0</v>
      </c>
      <c r="D43" s="563"/>
    </row>
    <row r="44" spans="1:12" x14ac:dyDescent="0.3">
      <c r="A44" s="232">
        <f t="shared" si="2"/>
        <v>45842</v>
      </c>
      <c r="B44" s="73">
        <f t="shared" si="3"/>
        <v>0</v>
      </c>
      <c r="C44" s="73">
        <f t="shared" si="4"/>
        <v>0</v>
      </c>
      <c r="D44" s="563"/>
    </row>
    <row r="45" spans="1:12" x14ac:dyDescent="0.3">
      <c r="A45" s="232">
        <f t="shared" si="2"/>
        <v>45843</v>
      </c>
      <c r="B45" s="73">
        <f t="shared" si="3"/>
        <v>0</v>
      </c>
      <c r="C45" s="73">
        <f t="shared" si="4"/>
        <v>0</v>
      </c>
      <c r="D45" s="563"/>
    </row>
    <row r="46" spans="1:12" x14ac:dyDescent="0.3">
      <c r="A46" s="232">
        <f t="shared" si="2"/>
        <v>45844</v>
      </c>
      <c r="B46" s="73">
        <f t="shared" si="3"/>
        <v>0</v>
      </c>
      <c r="C46" s="73">
        <f t="shared" si="4"/>
        <v>0</v>
      </c>
      <c r="D46" s="563"/>
    </row>
    <row r="47" spans="1:12" x14ac:dyDescent="0.3">
      <c r="A47" s="232">
        <f t="shared" si="2"/>
        <v>45845</v>
      </c>
      <c r="B47" s="73">
        <f t="shared" si="3"/>
        <v>0</v>
      </c>
      <c r="C47" s="73">
        <f t="shared" si="4"/>
        <v>0</v>
      </c>
      <c r="D47" s="563"/>
    </row>
    <row r="48" spans="1:12" x14ac:dyDescent="0.3">
      <c r="A48" s="232">
        <f t="shared" si="2"/>
        <v>45846</v>
      </c>
      <c r="B48" s="73">
        <f t="shared" si="3"/>
        <v>0</v>
      </c>
      <c r="C48" s="73">
        <f t="shared" si="4"/>
        <v>0</v>
      </c>
      <c r="D48" s="563"/>
    </row>
    <row r="49" spans="1:4" x14ac:dyDescent="0.3">
      <c r="A49" s="232">
        <f t="shared" si="2"/>
        <v>45847</v>
      </c>
      <c r="B49" s="73">
        <f t="shared" si="3"/>
        <v>0</v>
      </c>
      <c r="C49" s="73">
        <f t="shared" si="4"/>
        <v>0</v>
      </c>
      <c r="D49" s="563"/>
    </row>
    <row r="50" spans="1:4" x14ac:dyDescent="0.3">
      <c r="A50" s="232">
        <f t="shared" si="2"/>
        <v>45848</v>
      </c>
      <c r="B50" s="73">
        <f t="shared" si="3"/>
        <v>0</v>
      </c>
      <c r="C50" s="73">
        <f t="shared" si="4"/>
        <v>0</v>
      </c>
      <c r="D50" s="563"/>
    </row>
    <row r="51" spans="1:4" x14ac:dyDescent="0.3">
      <c r="A51" s="232">
        <f t="shared" si="2"/>
        <v>45849</v>
      </c>
      <c r="B51" s="73">
        <f t="shared" si="3"/>
        <v>0</v>
      </c>
      <c r="C51" s="73">
        <f t="shared" si="4"/>
        <v>0</v>
      </c>
      <c r="D51" s="563"/>
    </row>
    <row r="52" spans="1:4" x14ac:dyDescent="0.3">
      <c r="A52" s="232">
        <f t="shared" si="2"/>
        <v>45850</v>
      </c>
      <c r="B52" s="73">
        <f t="shared" si="3"/>
        <v>0</v>
      </c>
      <c r="C52" s="73">
        <f t="shared" si="4"/>
        <v>0</v>
      </c>
      <c r="D52" s="563"/>
    </row>
    <row r="53" spans="1:4" x14ac:dyDescent="0.3">
      <c r="A53" s="232">
        <f t="shared" si="2"/>
        <v>45851</v>
      </c>
      <c r="B53" s="73">
        <f t="shared" si="3"/>
        <v>0</v>
      </c>
      <c r="C53" s="73">
        <f t="shared" si="4"/>
        <v>0</v>
      </c>
      <c r="D53" s="563"/>
    </row>
    <row r="54" spans="1:4" x14ac:dyDescent="0.3">
      <c r="A54" s="232">
        <f t="shared" si="2"/>
        <v>45852</v>
      </c>
      <c r="B54" s="73">
        <f t="shared" si="3"/>
        <v>0</v>
      </c>
      <c r="C54" s="73">
        <f t="shared" si="4"/>
        <v>0</v>
      </c>
      <c r="D54" s="563"/>
    </row>
    <row r="55" spans="1:4" x14ac:dyDescent="0.3">
      <c r="A55" s="232">
        <f t="shared" si="2"/>
        <v>45853</v>
      </c>
      <c r="B55" s="73">
        <f t="shared" si="3"/>
        <v>0</v>
      </c>
      <c r="C55" s="73">
        <f t="shared" si="4"/>
        <v>0</v>
      </c>
      <c r="D55" s="563"/>
    </row>
    <row r="56" spans="1:4" x14ac:dyDescent="0.3">
      <c r="A56" s="232">
        <f t="shared" si="2"/>
        <v>45854</v>
      </c>
      <c r="B56" s="73">
        <f t="shared" si="3"/>
        <v>0</v>
      </c>
      <c r="C56" s="73">
        <f t="shared" si="4"/>
        <v>0</v>
      </c>
      <c r="D56" s="563"/>
    </row>
    <row r="57" spans="1:4" x14ac:dyDescent="0.3">
      <c r="A57" s="232">
        <f t="shared" si="2"/>
        <v>45855</v>
      </c>
      <c r="B57" s="73">
        <f t="shared" si="3"/>
        <v>0</v>
      </c>
      <c r="C57" s="73">
        <f t="shared" si="4"/>
        <v>0</v>
      </c>
      <c r="D57" s="563"/>
    </row>
    <row r="58" spans="1:4" x14ac:dyDescent="0.3">
      <c r="A58" s="232">
        <f t="shared" si="2"/>
        <v>45856</v>
      </c>
      <c r="B58" s="73">
        <f t="shared" si="3"/>
        <v>0</v>
      </c>
      <c r="C58" s="73">
        <f t="shared" si="4"/>
        <v>0</v>
      </c>
      <c r="D58" s="563"/>
    </row>
    <row r="59" spans="1:4" x14ac:dyDescent="0.3">
      <c r="A59" s="232">
        <f t="shared" si="2"/>
        <v>45857</v>
      </c>
      <c r="B59" s="73">
        <f t="shared" si="3"/>
        <v>0</v>
      </c>
      <c r="C59" s="73">
        <f t="shared" si="4"/>
        <v>0</v>
      </c>
      <c r="D59" s="563"/>
    </row>
    <row r="60" spans="1:4" x14ac:dyDescent="0.3">
      <c r="A60" s="232">
        <f t="shared" si="2"/>
        <v>45858</v>
      </c>
      <c r="B60" s="73">
        <f t="shared" si="3"/>
        <v>0</v>
      </c>
      <c r="C60" s="73">
        <f t="shared" si="4"/>
        <v>0</v>
      </c>
      <c r="D60" s="563"/>
    </row>
    <row r="61" spans="1:4" x14ac:dyDescent="0.3">
      <c r="A61" s="232">
        <f t="shared" si="2"/>
        <v>45859</v>
      </c>
      <c r="B61" s="73">
        <f t="shared" si="3"/>
        <v>0</v>
      </c>
      <c r="C61" s="73">
        <f t="shared" si="4"/>
        <v>0</v>
      </c>
      <c r="D61" s="563"/>
    </row>
    <row r="62" spans="1:4" x14ac:dyDescent="0.3">
      <c r="A62" s="232">
        <f t="shared" si="2"/>
        <v>45860</v>
      </c>
      <c r="B62" s="73">
        <f t="shared" si="3"/>
        <v>0</v>
      </c>
      <c r="C62" s="73">
        <f t="shared" si="4"/>
        <v>0</v>
      </c>
      <c r="D62" s="563"/>
    </row>
    <row r="63" spans="1:4" x14ac:dyDescent="0.3">
      <c r="A63" s="232">
        <f t="shared" si="2"/>
        <v>45861</v>
      </c>
      <c r="B63" s="73">
        <f t="shared" si="3"/>
        <v>0</v>
      </c>
      <c r="C63" s="73">
        <f t="shared" si="4"/>
        <v>0</v>
      </c>
      <c r="D63" s="563"/>
    </row>
    <row r="64" spans="1:4" ht="14.4" customHeight="1" x14ac:dyDescent="0.3">
      <c r="A64" s="232">
        <f t="shared" si="2"/>
        <v>45862</v>
      </c>
      <c r="B64" s="73">
        <f t="shared" si="3"/>
        <v>0</v>
      </c>
      <c r="C64" s="73">
        <f t="shared" si="4"/>
        <v>0</v>
      </c>
      <c r="D64" s="563"/>
    </row>
    <row r="65" spans="1:5" x14ac:dyDescent="0.3">
      <c r="A65" s="232">
        <f t="shared" si="2"/>
        <v>45863</v>
      </c>
      <c r="B65" s="73">
        <f t="shared" si="3"/>
        <v>0</v>
      </c>
      <c r="C65" s="73">
        <f t="shared" si="4"/>
        <v>0</v>
      </c>
      <c r="D65" s="563"/>
    </row>
    <row r="66" spans="1:5" x14ac:dyDescent="0.3">
      <c r="A66" s="232">
        <f t="shared" si="2"/>
        <v>45864</v>
      </c>
      <c r="B66" s="73">
        <f t="shared" si="3"/>
        <v>0</v>
      </c>
      <c r="C66" s="73">
        <f t="shared" si="4"/>
        <v>0</v>
      </c>
      <c r="D66" s="563"/>
    </row>
    <row r="67" spans="1:5" x14ac:dyDescent="0.3">
      <c r="A67" s="232">
        <f t="shared" si="2"/>
        <v>45865</v>
      </c>
      <c r="B67" s="73">
        <f t="shared" si="3"/>
        <v>0</v>
      </c>
      <c r="C67" s="73">
        <f t="shared" si="4"/>
        <v>0</v>
      </c>
      <c r="D67" s="563"/>
    </row>
    <row r="68" spans="1:5" x14ac:dyDescent="0.3">
      <c r="A68" s="232">
        <f t="shared" si="2"/>
        <v>45866</v>
      </c>
      <c r="B68" s="73">
        <f t="shared" si="3"/>
        <v>0</v>
      </c>
      <c r="C68" s="73">
        <f t="shared" si="4"/>
        <v>0</v>
      </c>
      <c r="D68" s="563"/>
    </row>
    <row r="69" spans="1:5" x14ac:dyDescent="0.3">
      <c r="A69" s="232">
        <f t="shared" si="2"/>
        <v>45867</v>
      </c>
      <c r="B69" s="73">
        <f t="shared" si="3"/>
        <v>0</v>
      </c>
      <c r="C69" s="73">
        <f t="shared" si="4"/>
        <v>0</v>
      </c>
      <c r="D69" s="563"/>
    </row>
    <row r="70" spans="1:5" x14ac:dyDescent="0.3">
      <c r="A70" s="232">
        <f t="shared" si="2"/>
        <v>45868</v>
      </c>
      <c r="B70" s="73">
        <f t="shared" si="3"/>
        <v>0</v>
      </c>
      <c r="C70" s="73">
        <f>SUM(B70:B70)</f>
        <v>0</v>
      </c>
      <c r="D70" s="563"/>
    </row>
    <row r="71" spans="1:5" x14ac:dyDescent="0.3">
      <c r="A71" s="232">
        <f t="shared" si="2"/>
        <v>45869</v>
      </c>
      <c r="B71" s="73">
        <f t="shared" si="3"/>
        <v>0</v>
      </c>
      <c r="C71" s="73">
        <f>SUM(B71:B71)</f>
        <v>0</v>
      </c>
      <c r="D71" s="563"/>
    </row>
    <row r="72" spans="1:5" x14ac:dyDescent="0.3">
      <c r="A72" s="530" t="s">
        <v>18</v>
      </c>
      <c r="B72" s="234">
        <f>SUM(B41:B71)</f>
        <v>0</v>
      </c>
      <c r="C72" s="531">
        <f>SUM(C41:C71)</f>
        <v>0</v>
      </c>
      <c r="D72" s="565"/>
    </row>
    <row r="73" spans="1:5" x14ac:dyDescent="0.3">
      <c r="A73" s="795"/>
      <c r="B73" s="795"/>
      <c r="C73" s="795"/>
      <c r="D73" s="566"/>
    </row>
    <row r="74" spans="1:5" x14ac:dyDescent="0.3">
      <c r="A74" s="799" t="s">
        <v>46</v>
      </c>
      <c r="B74" s="799"/>
      <c r="C74" s="799"/>
      <c r="D74" s="561"/>
    </row>
    <row r="75" spans="1:5" s="230" customFormat="1" ht="41.4" x14ac:dyDescent="0.3">
      <c r="A75" s="86" t="s">
        <v>22</v>
      </c>
      <c r="B75" s="529" t="str">
        <f>B39</f>
        <v xml:space="preserve">
C.D 26.12.2025 M.D. 24.06.2026</v>
      </c>
      <c r="C75" s="229" t="s">
        <v>0</v>
      </c>
      <c r="D75" s="562"/>
    </row>
    <row r="76" spans="1:5" x14ac:dyDescent="0.3">
      <c r="A76" s="235" t="s">
        <v>19</v>
      </c>
      <c r="B76" s="158">
        <v>0</v>
      </c>
      <c r="C76" s="455">
        <f>SUM(B76:B76)</f>
        <v>0</v>
      </c>
      <c r="D76" s="565"/>
      <c r="E76" s="189"/>
    </row>
    <row r="77" spans="1:5" x14ac:dyDescent="0.3">
      <c r="A77" s="235" t="s">
        <v>20</v>
      </c>
      <c r="B77" s="73">
        <f>B72</f>
        <v>0</v>
      </c>
      <c r="C77" s="455">
        <f>SUM(B77:B77)</f>
        <v>0</v>
      </c>
      <c r="D77" s="565"/>
    </row>
    <row r="78" spans="1:5" s="64" customFormat="1" x14ac:dyDescent="0.3">
      <c r="A78" s="448" t="s">
        <v>29</v>
      </c>
      <c r="B78" s="213"/>
      <c r="C78" s="165">
        <f>SUM(B78:B78)</f>
        <v>0</v>
      </c>
      <c r="D78" s="565"/>
    </row>
    <row r="79" spans="1:5" x14ac:dyDescent="0.3">
      <c r="A79" s="235" t="s">
        <v>18</v>
      </c>
      <c r="B79" s="73">
        <f>SUM(B76:B78)</f>
        <v>0</v>
      </c>
      <c r="C79" s="455">
        <f>SUM(B79:B79)</f>
        <v>0</v>
      </c>
      <c r="D79" s="565"/>
    </row>
    <row r="80" spans="1:5" x14ac:dyDescent="0.3">
      <c r="A80" s="796"/>
      <c r="B80" s="805"/>
      <c r="C80" s="796"/>
      <c r="D80" s="558"/>
    </row>
    <row r="81" spans="1:8" x14ac:dyDescent="0.3">
      <c r="A81" s="236" t="s">
        <v>32</v>
      </c>
      <c r="B81" s="158">
        <v>0</v>
      </c>
      <c r="C81" s="165">
        <f>SUM(B81:B81)</f>
        <v>0</v>
      </c>
      <c r="D81" s="565"/>
      <c r="E81" s="237"/>
    </row>
    <row r="82" spans="1:8" x14ac:dyDescent="0.3">
      <c r="A82" s="795"/>
      <c r="B82" s="795"/>
      <c r="C82" s="795"/>
      <c r="D82" s="566"/>
    </row>
    <row r="83" spans="1:8" x14ac:dyDescent="0.3">
      <c r="A83" s="236" t="s">
        <v>11</v>
      </c>
      <c r="B83" s="449">
        <v>0</v>
      </c>
      <c r="C83" s="450">
        <f>SUM(B83:B83)</f>
        <v>0</v>
      </c>
      <c r="D83" s="567"/>
    </row>
    <row r="84" spans="1:8" x14ac:dyDescent="0.3">
      <c r="A84" s="795"/>
      <c r="B84" s="795"/>
      <c r="C84" s="795"/>
      <c r="D84" s="566"/>
    </row>
    <row r="85" spans="1:8" x14ac:dyDescent="0.3">
      <c r="A85" s="238" t="s">
        <v>21</v>
      </c>
      <c r="B85" s="79">
        <f>B72+B83+B78</f>
        <v>0</v>
      </c>
      <c r="C85" s="79">
        <f>SUM(B85:B85)</f>
        <v>0</v>
      </c>
      <c r="D85" s="565"/>
    </row>
    <row r="86" spans="1:8" x14ac:dyDescent="0.3">
      <c r="A86" s="795"/>
      <c r="B86" s="795"/>
      <c r="C86" s="795"/>
      <c r="D86" s="566"/>
    </row>
    <row r="87" spans="1:8" x14ac:dyDescent="0.3">
      <c r="A87" s="239" t="s">
        <v>33</v>
      </c>
      <c r="B87" s="240">
        <f>B79+B83-B81</f>
        <v>0</v>
      </c>
      <c r="C87" s="240">
        <f>SUM(B87:B87)</f>
        <v>0</v>
      </c>
      <c r="D87" s="565"/>
      <c r="H87" s="312"/>
    </row>
    <row r="91" spans="1:8" x14ac:dyDescent="0.3">
      <c r="B91" s="499"/>
    </row>
  </sheetData>
  <mergeCells count="11">
    <mergeCell ref="A74:C74"/>
    <mergeCell ref="A80:C80"/>
    <mergeCell ref="A82:C82"/>
    <mergeCell ref="A84:C84"/>
    <mergeCell ref="A86:C86"/>
    <mergeCell ref="A1:C1"/>
    <mergeCell ref="A3:C3"/>
    <mergeCell ref="A4:C4"/>
    <mergeCell ref="A37:C37"/>
    <mergeCell ref="A38:C38"/>
    <mergeCell ref="A73:C73"/>
  </mergeCells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3560-FF53-4C6C-9161-7C3080D586A1}">
  <sheetPr>
    <pageSetUpPr fitToPage="1"/>
  </sheetPr>
  <dimension ref="A1:T49"/>
  <sheetViews>
    <sheetView showGridLines="0" topLeftCell="A9" zoomScaleNormal="100" zoomScaleSheetLayoutView="100" workbookViewId="0">
      <selection activeCell="B15" sqref="B15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8.7265625" style="123" customWidth="1"/>
    <col min="5" max="5" width="12" style="123" customWidth="1"/>
    <col min="6" max="6" width="2.36328125" style="2" customWidth="1"/>
    <col min="7" max="7" width="7.90625" style="2" customWidth="1"/>
    <col min="8" max="8" width="8.81640625" style="2" customWidth="1"/>
    <col min="9" max="9" width="6.90625" style="2" customWidth="1"/>
    <col min="10" max="10" width="11.08984375" style="2" customWidth="1"/>
    <col min="11" max="11" width="12.26953125" style="2" bestFit="1" customWidth="1"/>
    <col min="12" max="12" width="13.54296875" style="2" customWidth="1"/>
    <col min="13" max="15" width="10.6328125" style="2"/>
    <col min="16" max="16" width="11.81640625" style="2" bestFit="1" customWidth="1"/>
    <col min="17" max="16384" width="10.6328125" style="2"/>
  </cols>
  <sheetData>
    <row r="1" spans="1:20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20" ht="18.600000000000001" thickBot="1" x14ac:dyDescent="0.4">
      <c r="A2" s="789" t="s">
        <v>347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20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327">
        <f>-'[1]30 June'!$H$11</f>
        <v>249703392</v>
      </c>
    </row>
    <row r="4" spans="1:20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811" t="s">
        <v>232</v>
      </c>
      <c r="I4" s="245" t="s">
        <v>161</v>
      </c>
      <c r="J4" s="246" t="s">
        <v>162</v>
      </c>
    </row>
    <row r="5" spans="1:20" x14ac:dyDescent="0.3">
      <c r="A5" s="810"/>
      <c r="B5" s="521" t="s">
        <v>1</v>
      </c>
      <c r="C5" s="521" t="s">
        <v>12</v>
      </c>
      <c r="D5" s="521" t="s">
        <v>13</v>
      </c>
      <c r="E5" s="521" t="s">
        <v>163</v>
      </c>
      <c r="G5" s="248" t="s">
        <v>164</v>
      </c>
      <c r="H5" s="812"/>
      <c r="I5" s="249" t="s">
        <v>165</v>
      </c>
      <c r="J5" s="250" t="s">
        <v>166</v>
      </c>
      <c r="L5" s="657"/>
      <c r="M5" s="657"/>
      <c r="N5" s="657"/>
      <c r="O5" s="657"/>
      <c r="P5" s="659"/>
      <c r="Q5" s="659"/>
      <c r="R5" s="659"/>
      <c r="S5" s="659"/>
      <c r="T5" s="659"/>
    </row>
    <row r="6" spans="1:20" x14ac:dyDescent="0.3">
      <c r="A6" s="520">
        <v>46204</v>
      </c>
      <c r="B6" s="327">
        <f>-'[1]30 June'!$H$11</f>
        <v>249703392</v>
      </c>
      <c r="C6" s="325"/>
      <c r="D6" s="251"/>
      <c r="E6" s="73">
        <f>SUM(B6:D6)</f>
        <v>249703392</v>
      </c>
      <c r="G6" s="256">
        <v>6.4999999999999997E-3</v>
      </c>
      <c r="H6" s="253">
        <v>0.12230000000000001</v>
      </c>
      <c r="I6" s="254">
        <f>+H6+G6</f>
        <v>0.1288</v>
      </c>
      <c r="J6" s="255">
        <f>IF(E6&lt;0,0,E6*I6/365)</f>
        <v>88114.512026301367</v>
      </c>
      <c r="K6" s="312">
        <f>+E6-K3</f>
        <v>0</v>
      </c>
      <c r="L6" s="97"/>
      <c r="M6" s="472"/>
      <c r="N6" s="97"/>
      <c r="O6" s="495"/>
      <c r="P6" s="1"/>
      <c r="Q6" s="663"/>
      <c r="R6" s="663"/>
      <c r="S6" s="664"/>
      <c r="T6" s="663"/>
    </row>
    <row r="7" spans="1:20" x14ac:dyDescent="0.3">
      <c r="A7" s="324">
        <f>+A6+1</f>
        <v>46205</v>
      </c>
      <c r="B7" s="327">
        <f>-'[4]02 July'!$H$11</f>
        <v>249703392</v>
      </c>
      <c r="C7" s="325"/>
      <c r="D7" s="251"/>
      <c r="E7" s="73">
        <f t="shared" ref="E7:E32" si="0">SUM(B7:D7)</f>
        <v>249703392</v>
      </c>
      <c r="G7" s="256">
        <v>6.4999999999999997E-3</v>
      </c>
      <c r="H7" s="253">
        <f>H6</f>
        <v>0.12230000000000001</v>
      </c>
      <c r="I7" s="254">
        <f t="shared" ref="I7:I33" si="1">+H7+G7</f>
        <v>0.1288</v>
      </c>
      <c r="J7" s="255">
        <f t="shared" ref="J7:J33" si="2">IF(E7&lt;0,0,E7*I7/365)</f>
        <v>88114.512026301367</v>
      </c>
      <c r="K7" s="74">
        <f>+E7-E6</f>
        <v>0</v>
      </c>
      <c r="L7" s="97"/>
      <c r="M7" s="472"/>
      <c r="N7" s="97"/>
      <c r="O7" s="495"/>
      <c r="P7" s="1"/>
    </row>
    <row r="8" spans="1:20" s="359" customFormat="1" x14ac:dyDescent="0.3">
      <c r="A8" s="469">
        <f t="shared" ref="A8:A36" si="3">+A7+1</f>
        <v>46206</v>
      </c>
      <c r="B8" s="327">
        <f>-'[4]03 July'!$H$11</f>
        <v>159703392</v>
      </c>
      <c r="C8" s="470"/>
      <c r="D8" s="327"/>
      <c r="E8" s="313">
        <f t="shared" si="0"/>
        <v>159703392</v>
      </c>
      <c r="G8" s="256">
        <v>6.4999999999999997E-3</v>
      </c>
      <c r="H8" s="253">
        <f t="shared" ref="H8:H36" si="4">H7</f>
        <v>0.12230000000000001</v>
      </c>
      <c r="I8" s="254">
        <f t="shared" si="1"/>
        <v>0.1288</v>
      </c>
      <c r="J8" s="255">
        <f t="shared" si="2"/>
        <v>56355.607916712332</v>
      </c>
      <c r="K8" s="363">
        <f t="shared" ref="K8:K32" si="5">+E8-E7</f>
        <v>-90000000</v>
      </c>
    </row>
    <row r="9" spans="1:20" x14ac:dyDescent="0.3">
      <c r="A9" s="324">
        <f t="shared" si="3"/>
        <v>46207</v>
      </c>
      <c r="B9" s="327">
        <f>-'[4]03 July'!$H$11</f>
        <v>159703392</v>
      </c>
      <c r="C9" s="325"/>
      <c r="D9" s="251"/>
      <c r="E9" s="73">
        <f t="shared" si="0"/>
        <v>159703392</v>
      </c>
      <c r="G9" s="256">
        <v>6.4999999999999997E-3</v>
      </c>
      <c r="H9" s="253">
        <f t="shared" si="4"/>
        <v>0.12230000000000001</v>
      </c>
      <c r="I9" s="254">
        <f t="shared" si="1"/>
        <v>0.1288</v>
      </c>
      <c r="J9" s="255">
        <f t="shared" si="2"/>
        <v>56355.607916712332</v>
      </c>
      <c r="K9" s="74">
        <f t="shared" si="5"/>
        <v>0</v>
      </c>
    </row>
    <row r="10" spans="1:20" x14ac:dyDescent="0.3">
      <c r="A10" s="232">
        <f t="shared" si="3"/>
        <v>46208</v>
      </c>
      <c r="B10" s="327">
        <f>-'[4]03 July'!$H$11</f>
        <v>159703392</v>
      </c>
      <c r="C10" s="73"/>
      <c r="D10" s="73"/>
      <c r="E10" s="73">
        <f t="shared" si="0"/>
        <v>159703392</v>
      </c>
      <c r="G10" s="256">
        <v>6.4999999999999997E-3</v>
      </c>
      <c r="H10" s="253">
        <f t="shared" si="4"/>
        <v>0.12230000000000001</v>
      </c>
      <c r="I10" s="254">
        <f t="shared" si="1"/>
        <v>0.1288</v>
      </c>
      <c r="J10" s="255">
        <f t="shared" si="2"/>
        <v>56355.607916712332</v>
      </c>
      <c r="K10" s="74">
        <f t="shared" si="5"/>
        <v>0</v>
      </c>
    </row>
    <row r="11" spans="1:20" x14ac:dyDescent="0.3">
      <c r="A11" s="232">
        <f t="shared" si="3"/>
        <v>46209</v>
      </c>
      <c r="B11" s="327">
        <f>-'[4]06 July'!$H$11</f>
        <v>159703392</v>
      </c>
      <c r="C11" s="73"/>
      <c r="D11" s="73"/>
      <c r="E11" s="73">
        <f t="shared" si="0"/>
        <v>159703392</v>
      </c>
      <c r="G11" s="256">
        <v>6.4999999999999997E-3</v>
      </c>
      <c r="H11" s="253">
        <f t="shared" si="4"/>
        <v>0.12230000000000001</v>
      </c>
      <c r="I11" s="254">
        <f t="shared" si="1"/>
        <v>0.1288</v>
      </c>
      <c r="J11" s="255">
        <f t="shared" si="2"/>
        <v>56355.607916712332</v>
      </c>
      <c r="K11" s="74">
        <f t="shared" si="5"/>
        <v>0</v>
      </c>
    </row>
    <row r="12" spans="1:20" x14ac:dyDescent="0.3">
      <c r="A12" s="232">
        <f t="shared" si="3"/>
        <v>46210</v>
      </c>
      <c r="B12" s="327">
        <f>-'[4]07 July'!$H$11</f>
        <v>217703392</v>
      </c>
      <c r="C12" s="73"/>
      <c r="D12" s="73"/>
      <c r="E12" s="73">
        <f t="shared" si="0"/>
        <v>217703392</v>
      </c>
      <c r="G12" s="256">
        <v>6.4999999999999997E-3</v>
      </c>
      <c r="H12" s="253">
        <f t="shared" si="4"/>
        <v>0.12230000000000001</v>
      </c>
      <c r="I12" s="254">
        <f t="shared" si="1"/>
        <v>0.1288</v>
      </c>
      <c r="J12" s="255">
        <f t="shared" si="2"/>
        <v>76822.45723178082</v>
      </c>
      <c r="K12" s="74">
        <f t="shared" si="5"/>
        <v>58000000</v>
      </c>
    </row>
    <row r="13" spans="1:20" x14ac:dyDescent="0.3">
      <c r="A13" s="232">
        <f t="shared" si="3"/>
        <v>46211</v>
      </c>
      <c r="B13" s="327">
        <f>-'[4]08 July'!$H$11</f>
        <v>217703392</v>
      </c>
      <c r="C13" s="73"/>
      <c r="D13" s="73"/>
      <c r="E13" s="73">
        <f t="shared" si="0"/>
        <v>217703392</v>
      </c>
      <c r="G13" s="256">
        <v>6.4999999999999997E-3</v>
      </c>
      <c r="H13" s="253">
        <f t="shared" si="4"/>
        <v>0.12230000000000001</v>
      </c>
      <c r="I13" s="254">
        <f t="shared" si="1"/>
        <v>0.1288</v>
      </c>
      <c r="J13" s="255">
        <f t="shared" si="2"/>
        <v>76822.45723178082</v>
      </c>
      <c r="K13" s="74">
        <f t="shared" si="5"/>
        <v>0</v>
      </c>
    </row>
    <row r="14" spans="1:20" x14ac:dyDescent="0.3">
      <c r="A14" s="232">
        <f t="shared" si="3"/>
        <v>46212</v>
      </c>
      <c r="B14" s="327">
        <f>-'[4]09 July'!$H$11</f>
        <v>217703392</v>
      </c>
      <c r="C14" s="73"/>
      <c r="D14" s="73"/>
      <c r="E14" s="73">
        <f t="shared" si="0"/>
        <v>217703392</v>
      </c>
      <c r="G14" s="256">
        <v>6.4999999999999997E-3</v>
      </c>
      <c r="H14" s="253">
        <f t="shared" si="4"/>
        <v>0.12230000000000001</v>
      </c>
      <c r="I14" s="254">
        <f t="shared" si="1"/>
        <v>0.1288</v>
      </c>
      <c r="J14" s="255">
        <f t="shared" si="2"/>
        <v>76822.45723178082</v>
      </c>
      <c r="K14" s="74">
        <f t="shared" si="5"/>
        <v>0</v>
      </c>
    </row>
    <row r="15" spans="1:20" x14ac:dyDescent="0.3">
      <c r="A15" s="232">
        <f t="shared" si="3"/>
        <v>46213</v>
      </c>
      <c r="B15" s="327">
        <f t="shared" ref="B15:B34" si="6">B14</f>
        <v>217703392</v>
      </c>
      <c r="C15" s="257"/>
      <c r="D15" s="73"/>
      <c r="E15" s="73">
        <f t="shared" si="0"/>
        <v>217703392</v>
      </c>
      <c r="G15" s="256">
        <v>6.4999999999999997E-3</v>
      </c>
      <c r="H15" s="253">
        <f t="shared" si="4"/>
        <v>0.12230000000000001</v>
      </c>
      <c r="I15" s="254">
        <f t="shared" si="1"/>
        <v>0.1288</v>
      </c>
      <c r="J15" s="255">
        <f t="shared" si="2"/>
        <v>76822.45723178082</v>
      </c>
      <c r="K15" s="74">
        <f t="shared" si="5"/>
        <v>0</v>
      </c>
    </row>
    <row r="16" spans="1:20" s="359" customFormat="1" x14ac:dyDescent="0.3">
      <c r="A16" s="357">
        <f t="shared" si="3"/>
        <v>46214</v>
      </c>
      <c r="B16" s="327">
        <f t="shared" si="6"/>
        <v>217703392</v>
      </c>
      <c r="C16" s="358"/>
      <c r="D16" s="313"/>
      <c r="E16" s="73">
        <f t="shared" si="0"/>
        <v>217703392</v>
      </c>
      <c r="G16" s="256">
        <v>6.4999999999999997E-3</v>
      </c>
      <c r="H16" s="253">
        <f t="shared" si="4"/>
        <v>0.12230000000000001</v>
      </c>
      <c r="I16" s="254">
        <f t="shared" si="1"/>
        <v>0.1288</v>
      </c>
      <c r="J16" s="255">
        <f t="shared" si="2"/>
        <v>76822.45723178082</v>
      </c>
      <c r="K16" s="363">
        <f t="shared" si="5"/>
        <v>0</v>
      </c>
    </row>
    <row r="17" spans="1:14" s="359" customFormat="1" x14ac:dyDescent="0.3">
      <c r="A17" s="357">
        <f t="shared" si="3"/>
        <v>46215</v>
      </c>
      <c r="B17" s="327">
        <f t="shared" si="6"/>
        <v>217703392</v>
      </c>
      <c r="C17" s="358"/>
      <c r="D17" s="313"/>
      <c r="E17" s="73">
        <f t="shared" si="0"/>
        <v>217703392</v>
      </c>
      <c r="G17" s="256">
        <v>6.4999999999999997E-3</v>
      </c>
      <c r="H17" s="253">
        <f t="shared" si="4"/>
        <v>0.12230000000000001</v>
      </c>
      <c r="I17" s="254">
        <f t="shared" si="1"/>
        <v>0.1288</v>
      </c>
      <c r="J17" s="255">
        <f t="shared" si="2"/>
        <v>76822.45723178082</v>
      </c>
      <c r="K17" s="363">
        <f t="shared" si="5"/>
        <v>0</v>
      </c>
    </row>
    <row r="18" spans="1:14" s="359" customFormat="1" x14ac:dyDescent="0.3">
      <c r="A18" s="357">
        <f t="shared" si="3"/>
        <v>46216</v>
      </c>
      <c r="B18" s="327">
        <f t="shared" si="6"/>
        <v>217703392</v>
      </c>
      <c r="C18" s="358"/>
      <c r="D18" s="313"/>
      <c r="E18" s="73">
        <f t="shared" si="0"/>
        <v>217703392</v>
      </c>
      <c r="G18" s="256">
        <v>6.4999999999999997E-3</v>
      </c>
      <c r="H18" s="253">
        <f t="shared" si="4"/>
        <v>0.12230000000000001</v>
      </c>
      <c r="I18" s="254">
        <f t="shared" si="1"/>
        <v>0.1288</v>
      </c>
      <c r="J18" s="255">
        <f t="shared" si="2"/>
        <v>76822.45723178082</v>
      </c>
      <c r="K18" s="363">
        <f t="shared" si="5"/>
        <v>0</v>
      </c>
    </row>
    <row r="19" spans="1:14" x14ac:dyDescent="0.3">
      <c r="A19" s="232">
        <f t="shared" si="3"/>
        <v>46217</v>
      </c>
      <c r="B19" s="327">
        <f t="shared" si="6"/>
        <v>217703392</v>
      </c>
      <c r="C19" s="257"/>
      <c r="D19" s="73"/>
      <c r="E19" s="73">
        <f t="shared" si="0"/>
        <v>217703392</v>
      </c>
      <c r="G19" s="256">
        <v>6.4999999999999997E-3</v>
      </c>
      <c r="H19" s="253">
        <f t="shared" si="4"/>
        <v>0.12230000000000001</v>
      </c>
      <c r="I19" s="254">
        <f t="shared" si="1"/>
        <v>0.1288</v>
      </c>
      <c r="J19" s="255">
        <f t="shared" si="2"/>
        <v>76822.45723178082</v>
      </c>
      <c r="K19" s="74">
        <f t="shared" si="5"/>
        <v>0</v>
      </c>
    </row>
    <row r="20" spans="1:14" x14ac:dyDescent="0.3">
      <c r="A20" s="232">
        <f t="shared" si="3"/>
        <v>46218</v>
      </c>
      <c r="B20" s="327">
        <f t="shared" si="6"/>
        <v>217703392</v>
      </c>
      <c r="C20" s="257"/>
      <c r="D20" s="73"/>
      <c r="E20" s="73">
        <f t="shared" si="0"/>
        <v>217703392</v>
      </c>
      <c r="G20" s="256">
        <v>6.4999999999999997E-3</v>
      </c>
      <c r="H20" s="253">
        <f t="shared" si="4"/>
        <v>0.12230000000000001</v>
      </c>
      <c r="I20" s="254">
        <f t="shared" si="1"/>
        <v>0.1288</v>
      </c>
      <c r="J20" s="255">
        <f t="shared" si="2"/>
        <v>76822.45723178082</v>
      </c>
      <c r="K20" s="74">
        <f t="shared" si="5"/>
        <v>0</v>
      </c>
    </row>
    <row r="21" spans="1:14" x14ac:dyDescent="0.3">
      <c r="A21" s="232">
        <f t="shared" si="3"/>
        <v>46219</v>
      </c>
      <c r="B21" s="327">
        <f t="shared" si="6"/>
        <v>217703392</v>
      </c>
      <c r="C21" s="257"/>
      <c r="D21" s="73"/>
      <c r="E21" s="73">
        <f t="shared" si="0"/>
        <v>217703392</v>
      </c>
      <c r="G21" s="256">
        <v>6.4999999999999997E-3</v>
      </c>
      <c r="H21" s="253">
        <f t="shared" si="4"/>
        <v>0.12230000000000001</v>
      </c>
      <c r="I21" s="254">
        <f t="shared" si="1"/>
        <v>0.1288</v>
      </c>
      <c r="J21" s="255">
        <f t="shared" si="2"/>
        <v>76822.45723178082</v>
      </c>
      <c r="K21" s="74">
        <f t="shared" si="5"/>
        <v>0</v>
      </c>
    </row>
    <row r="22" spans="1:14" x14ac:dyDescent="0.3">
      <c r="A22" s="232">
        <f t="shared" si="3"/>
        <v>46220</v>
      </c>
      <c r="B22" s="327">
        <f t="shared" si="6"/>
        <v>217703392</v>
      </c>
      <c r="C22" s="73"/>
      <c r="D22" s="73"/>
      <c r="E22" s="73">
        <f t="shared" si="0"/>
        <v>217703392</v>
      </c>
      <c r="G22" s="256">
        <v>6.4999999999999997E-3</v>
      </c>
      <c r="H22" s="253">
        <f t="shared" si="4"/>
        <v>0.12230000000000001</v>
      </c>
      <c r="I22" s="254">
        <f t="shared" si="1"/>
        <v>0.1288</v>
      </c>
      <c r="J22" s="255">
        <f t="shared" si="2"/>
        <v>76822.45723178082</v>
      </c>
      <c r="K22" s="74">
        <f t="shared" si="5"/>
        <v>0</v>
      </c>
    </row>
    <row r="23" spans="1:14" x14ac:dyDescent="0.3">
      <c r="A23" s="232">
        <f t="shared" si="3"/>
        <v>46221</v>
      </c>
      <c r="B23" s="327">
        <f t="shared" si="6"/>
        <v>217703392</v>
      </c>
      <c r="C23" s="90"/>
      <c r="D23" s="73"/>
      <c r="E23" s="73">
        <f t="shared" si="0"/>
        <v>217703392</v>
      </c>
      <c r="G23" s="256">
        <v>6.4999999999999997E-3</v>
      </c>
      <c r="H23" s="253">
        <f t="shared" si="4"/>
        <v>0.12230000000000001</v>
      </c>
      <c r="I23" s="254">
        <f t="shared" si="1"/>
        <v>0.1288</v>
      </c>
      <c r="J23" s="255">
        <f t="shared" si="2"/>
        <v>76822.45723178082</v>
      </c>
      <c r="K23" s="74">
        <f t="shared" si="5"/>
        <v>0</v>
      </c>
    </row>
    <row r="24" spans="1:14" x14ac:dyDescent="0.3">
      <c r="A24" s="232">
        <f t="shared" si="3"/>
        <v>46222</v>
      </c>
      <c r="B24" s="327">
        <f t="shared" si="6"/>
        <v>217703392</v>
      </c>
      <c r="C24" s="73"/>
      <c r="D24" s="73"/>
      <c r="E24" s="73">
        <f t="shared" si="0"/>
        <v>217703392</v>
      </c>
      <c r="G24" s="256">
        <v>6.4999999999999997E-3</v>
      </c>
      <c r="H24" s="253">
        <f t="shared" si="4"/>
        <v>0.12230000000000001</v>
      </c>
      <c r="I24" s="254">
        <f t="shared" si="1"/>
        <v>0.1288</v>
      </c>
      <c r="J24" s="255">
        <f t="shared" si="2"/>
        <v>76822.45723178082</v>
      </c>
      <c r="K24" s="74">
        <f t="shared" si="5"/>
        <v>0</v>
      </c>
    </row>
    <row r="25" spans="1:14" x14ac:dyDescent="0.3">
      <c r="A25" s="232">
        <f t="shared" si="3"/>
        <v>46223</v>
      </c>
      <c r="B25" s="327">
        <f t="shared" si="6"/>
        <v>217703392</v>
      </c>
      <c r="C25" s="73"/>
      <c r="D25" s="73"/>
      <c r="E25" s="73">
        <f t="shared" si="0"/>
        <v>217703392</v>
      </c>
      <c r="G25" s="256">
        <v>6.4999999999999997E-3</v>
      </c>
      <c r="H25" s="253">
        <f t="shared" si="4"/>
        <v>0.12230000000000001</v>
      </c>
      <c r="I25" s="254">
        <f t="shared" si="1"/>
        <v>0.1288</v>
      </c>
      <c r="J25" s="255">
        <f t="shared" si="2"/>
        <v>76822.45723178082</v>
      </c>
      <c r="K25" s="74">
        <f t="shared" si="5"/>
        <v>0</v>
      </c>
      <c r="N25" s="1"/>
    </row>
    <row r="26" spans="1:14" x14ac:dyDescent="0.3">
      <c r="A26" s="232">
        <f t="shared" si="3"/>
        <v>46224</v>
      </c>
      <c r="B26" s="327">
        <f t="shared" si="6"/>
        <v>217703392</v>
      </c>
      <c r="C26" s="73"/>
      <c r="D26" s="73"/>
      <c r="E26" s="73">
        <f t="shared" si="0"/>
        <v>217703392</v>
      </c>
      <c r="G26" s="256">
        <v>6.4999999999999997E-3</v>
      </c>
      <c r="H26" s="253">
        <f t="shared" si="4"/>
        <v>0.12230000000000001</v>
      </c>
      <c r="I26" s="254">
        <f t="shared" si="1"/>
        <v>0.1288</v>
      </c>
      <c r="J26" s="255">
        <f t="shared" si="2"/>
        <v>76822.45723178082</v>
      </c>
      <c r="K26" s="74">
        <f t="shared" si="5"/>
        <v>0</v>
      </c>
    </row>
    <row r="27" spans="1:14" x14ac:dyDescent="0.3">
      <c r="A27" s="232">
        <f t="shared" si="3"/>
        <v>46225</v>
      </c>
      <c r="B27" s="327">
        <f t="shared" si="6"/>
        <v>217703392</v>
      </c>
      <c r="C27" s="73"/>
      <c r="D27" s="73"/>
      <c r="E27" s="73">
        <f t="shared" si="0"/>
        <v>217703392</v>
      </c>
      <c r="G27" s="256">
        <v>6.4999999999999997E-3</v>
      </c>
      <c r="H27" s="253">
        <f t="shared" si="4"/>
        <v>0.12230000000000001</v>
      </c>
      <c r="I27" s="254">
        <f t="shared" si="1"/>
        <v>0.1288</v>
      </c>
      <c r="J27" s="255">
        <f t="shared" si="2"/>
        <v>76822.45723178082</v>
      </c>
      <c r="K27" s="74">
        <f t="shared" si="5"/>
        <v>0</v>
      </c>
    </row>
    <row r="28" spans="1:14" x14ac:dyDescent="0.3">
      <c r="A28" s="232">
        <f t="shared" si="3"/>
        <v>46226</v>
      </c>
      <c r="B28" s="327">
        <f t="shared" si="6"/>
        <v>217703392</v>
      </c>
      <c r="C28" s="73"/>
      <c r="D28" s="73"/>
      <c r="E28" s="73">
        <f t="shared" si="0"/>
        <v>217703392</v>
      </c>
      <c r="G28" s="256">
        <v>6.4999999999999997E-3</v>
      </c>
      <c r="H28" s="253">
        <f t="shared" si="4"/>
        <v>0.12230000000000001</v>
      </c>
      <c r="I28" s="254">
        <f t="shared" si="1"/>
        <v>0.1288</v>
      </c>
      <c r="J28" s="255">
        <f t="shared" si="2"/>
        <v>76822.45723178082</v>
      </c>
      <c r="K28" s="74">
        <f t="shared" si="5"/>
        <v>0</v>
      </c>
      <c r="N28" s="312"/>
    </row>
    <row r="29" spans="1:14" x14ac:dyDescent="0.3">
      <c r="A29" s="232">
        <f t="shared" si="3"/>
        <v>46227</v>
      </c>
      <c r="B29" s="327">
        <f t="shared" si="6"/>
        <v>217703392</v>
      </c>
      <c r="C29" s="73"/>
      <c r="D29" s="73"/>
      <c r="E29" s="73">
        <f t="shared" si="0"/>
        <v>217703392</v>
      </c>
      <c r="G29" s="256">
        <v>6.4999999999999997E-3</v>
      </c>
      <c r="H29" s="253">
        <f t="shared" si="4"/>
        <v>0.12230000000000001</v>
      </c>
      <c r="I29" s="254">
        <f t="shared" si="1"/>
        <v>0.1288</v>
      </c>
      <c r="J29" s="255">
        <f t="shared" si="2"/>
        <v>76822.45723178082</v>
      </c>
      <c r="K29" s="74">
        <f t="shared" si="5"/>
        <v>0</v>
      </c>
      <c r="N29" s="356"/>
    </row>
    <row r="30" spans="1:14" x14ac:dyDescent="0.3">
      <c r="A30" s="232">
        <f t="shared" si="3"/>
        <v>46228</v>
      </c>
      <c r="B30" s="327">
        <f t="shared" si="6"/>
        <v>217703392</v>
      </c>
      <c r="C30" s="73"/>
      <c r="D30" s="73"/>
      <c r="E30" s="73">
        <f t="shared" si="0"/>
        <v>217703392</v>
      </c>
      <c r="G30" s="256">
        <v>6.4999999999999997E-3</v>
      </c>
      <c r="H30" s="253">
        <f t="shared" si="4"/>
        <v>0.12230000000000001</v>
      </c>
      <c r="I30" s="254">
        <f t="shared" si="1"/>
        <v>0.1288</v>
      </c>
      <c r="J30" s="255">
        <f t="shared" si="2"/>
        <v>76822.45723178082</v>
      </c>
      <c r="K30" s="74">
        <f t="shared" si="5"/>
        <v>0</v>
      </c>
      <c r="N30" s="312"/>
    </row>
    <row r="31" spans="1:14" x14ac:dyDescent="0.3">
      <c r="A31" s="232">
        <f t="shared" si="3"/>
        <v>46229</v>
      </c>
      <c r="B31" s="327">
        <f t="shared" si="6"/>
        <v>217703392</v>
      </c>
      <c r="C31" s="73"/>
      <c r="D31" s="73"/>
      <c r="E31" s="73">
        <f t="shared" si="0"/>
        <v>217703392</v>
      </c>
      <c r="G31" s="256">
        <v>6.4999999999999997E-3</v>
      </c>
      <c r="H31" s="253">
        <f t="shared" si="4"/>
        <v>0.12230000000000001</v>
      </c>
      <c r="I31" s="254">
        <f t="shared" si="1"/>
        <v>0.1288</v>
      </c>
      <c r="J31" s="255">
        <f t="shared" si="2"/>
        <v>76822.45723178082</v>
      </c>
      <c r="K31" s="74">
        <f t="shared" si="5"/>
        <v>0</v>
      </c>
    </row>
    <row r="32" spans="1:14" x14ac:dyDescent="0.3">
      <c r="A32" s="232">
        <f t="shared" si="3"/>
        <v>46230</v>
      </c>
      <c r="B32" s="327">
        <f t="shared" si="6"/>
        <v>217703392</v>
      </c>
      <c r="C32" s="73"/>
      <c r="D32" s="73"/>
      <c r="E32" s="73">
        <f t="shared" si="0"/>
        <v>217703392</v>
      </c>
      <c r="G32" s="256">
        <v>6.4999999999999997E-3</v>
      </c>
      <c r="H32" s="253">
        <f t="shared" si="4"/>
        <v>0.12230000000000001</v>
      </c>
      <c r="I32" s="254">
        <f t="shared" si="1"/>
        <v>0.1288</v>
      </c>
      <c r="J32" s="255">
        <f t="shared" si="2"/>
        <v>76822.45723178082</v>
      </c>
      <c r="K32" s="74">
        <f t="shared" si="5"/>
        <v>0</v>
      </c>
    </row>
    <row r="33" spans="1:14" x14ac:dyDescent="0.3">
      <c r="A33" s="232">
        <f t="shared" si="3"/>
        <v>46231</v>
      </c>
      <c r="B33" s="327">
        <f t="shared" si="6"/>
        <v>217703392</v>
      </c>
      <c r="C33" s="73"/>
      <c r="D33" s="73"/>
      <c r="E33" s="73">
        <f>SUM(B33:D33)</f>
        <v>217703392</v>
      </c>
      <c r="G33" s="256">
        <v>6.4999999999999997E-3</v>
      </c>
      <c r="H33" s="253">
        <f t="shared" si="4"/>
        <v>0.12230000000000001</v>
      </c>
      <c r="I33" s="254">
        <f t="shared" si="1"/>
        <v>0.1288</v>
      </c>
      <c r="J33" s="255">
        <f t="shared" si="2"/>
        <v>76822.45723178082</v>
      </c>
      <c r="K33" s="74">
        <f>+E33-E32</f>
        <v>0</v>
      </c>
    </row>
    <row r="34" spans="1:14" x14ac:dyDescent="0.3">
      <c r="A34" s="232">
        <f t="shared" si="3"/>
        <v>46232</v>
      </c>
      <c r="B34" s="327">
        <f t="shared" si="6"/>
        <v>217703392</v>
      </c>
      <c r="C34" s="73"/>
      <c r="D34" s="73"/>
      <c r="E34" s="73">
        <f>SUM(B34:D34)</f>
        <v>217703392</v>
      </c>
      <c r="G34" s="256">
        <v>6.4999999999999997E-3</v>
      </c>
      <c r="H34" s="253">
        <f t="shared" si="4"/>
        <v>0.12230000000000001</v>
      </c>
      <c r="I34" s="254">
        <f>+H34+G34</f>
        <v>0.1288</v>
      </c>
      <c r="J34" s="255">
        <f>IF(E34&lt;0,0,E34*I34/365)</f>
        <v>76822.45723178082</v>
      </c>
      <c r="K34" s="74">
        <f>+E34-E33</f>
        <v>0</v>
      </c>
    </row>
    <row r="35" spans="1:14" x14ac:dyDescent="0.3">
      <c r="A35" s="232">
        <f t="shared" si="3"/>
        <v>46233</v>
      </c>
      <c r="B35" s="327">
        <f>B34</f>
        <v>217703392</v>
      </c>
      <c r="C35" s="73"/>
      <c r="D35" s="73"/>
      <c r="E35" s="73">
        <f>SUM(B35:D35)</f>
        <v>217703392</v>
      </c>
      <c r="G35" s="256">
        <v>6.4999999999999997E-3</v>
      </c>
      <c r="H35" s="253">
        <f t="shared" si="4"/>
        <v>0.12230000000000001</v>
      </c>
      <c r="I35" s="254">
        <f>+H35+G35</f>
        <v>0.1288</v>
      </c>
      <c r="J35" s="255">
        <f>IF(E35&lt;0,0,E35*I35/365)</f>
        <v>76822.45723178082</v>
      </c>
      <c r="K35" s="74">
        <f>+E35-E34</f>
        <v>0</v>
      </c>
    </row>
    <row r="36" spans="1:14" x14ac:dyDescent="0.3">
      <c r="A36" s="232">
        <f t="shared" si="3"/>
        <v>46234</v>
      </c>
      <c r="B36" s="327">
        <f>B35</f>
        <v>217703392</v>
      </c>
      <c r="C36" s="73"/>
      <c r="D36" s="73"/>
      <c r="E36" s="73">
        <f>SUM(B36:D36)</f>
        <v>217703392</v>
      </c>
      <c r="G36" s="256">
        <v>6.4999999999999997E-3</v>
      </c>
      <c r="H36" s="253">
        <f t="shared" si="4"/>
        <v>0.12230000000000001</v>
      </c>
      <c r="I36" s="254">
        <f>+H36+G36</f>
        <v>0.1288</v>
      </c>
      <c r="J36" s="255">
        <f>IF(E36&lt;0,0,E36*I36/365)</f>
        <v>76822.45723178082</v>
      </c>
      <c r="K36" s="74">
        <f>+E36-E35</f>
        <v>0</v>
      </c>
    </row>
    <row r="37" spans="1:14" x14ac:dyDescent="0.3">
      <c r="G37" s="258" t="s">
        <v>18</v>
      </c>
      <c r="H37" s="259"/>
      <c r="I37" s="19"/>
      <c r="J37" s="260">
        <f>SUM(J6:J36)</f>
        <v>2322212.8865139722</v>
      </c>
    </row>
    <row r="38" spans="1:14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4" x14ac:dyDescent="0.3">
      <c r="G39" s="783" t="s">
        <v>24</v>
      </c>
      <c r="H39" s="783"/>
      <c r="I39" s="783"/>
    </row>
    <row r="40" spans="1:14" x14ac:dyDescent="0.3">
      <c r="G40" s="784"/>
      <c r="H40" s="784"/>
      <c r="I40" s="784"/>
      <c r="J40" s="261" t="s">
        <v>0</v>
      </c>
    </row>
    <row r="41" spans="1:14" x14ac:dyDescent="0.3">
      <c r="G41" s="785" t="s">
        <v>19</v>
      </c>
      <c r="H41" s="785"/>
      <c r="I41" s="785"/>
      <c r="J41" s="265">
        <f>'[3]NBP-ISLAMIC'!$J$46</f>
        <v>902473.23718136991</v>
      </c>
      <c r="K41" s="189"/>
    </row>
    <row r="42" spans="1:14" ht="14.4" x14ac:dyDescent="0.3">
      <c r="G42" s="803" t="s">
        <v>40</v>
      </c>
      <c r="H42" s="803"/>
      <c r="I42" s="813"/>
      <c r="J42" s="666">
        <v>902474</v>
      </c>
      <c r="K42" s="189"/>
      <c r="N42" s="666"/>
    </row>
    <row r="43" spans="1:14" x14ac:dyDescent="0.3">
      <c r="B43" s="2"/>
      <c r="D43" s="2"/>
      <c r="G43" s="787" t="str">
        <f>IF(J43&lt;0,"Excess Provision to be Reversed","Additional Provision Required")</f>
        <v>Additional Provision Required</v>
      </c>
      <c r="H43" s="787"/>
      <c r="I43" s="787"/>
      <c r="J43" s="263">
        <f>IF(J42=0,0,J42-J41)</f>
        <v>0.76281863008625805</v>
      </c>
    </row>
    <row r="44" spans="1:14" x14ac:dyDescent="0.3">
      <c r="G44" s="784"/>
      <c r="H44" s="784"/>
      <c r="I44" s="784"/>
      <c r="J44" s="784"/>
    </row>
    <row r="45" spans="1:14" ht="16.2" customHeight="1" thickBot="1" x14ac:dyDescent="0.35">
      <c r="G45" s="780" t="s">
        <v>145</v>
      </c>
      <c r="H45" s="780"/>
      <c r="I45" s="780"/>
      <c r="J45" s="264">
        <f>J37+J43</f>
        <v>2322213.6493326025</v>
      </c>
    </row>
    <row r="46" spans="1:14" x14ac:dyDescent="0.3">
      <c r="G46" s="781"/>
      <c r="H46" s="781"/>
      <c r="I46" s="781"/>
      <c r="J46" s="781"/>
    </row>
    <row r="47" spans="1:14" x14ac:dyDescent="0.3">
      <c r="G47" s="782" t="s">
        <v>33</v>
      </c>
      <c r="H47" s="782"/>
      <c r="I47" s="782"/>
      <c r="J47" s="265">
        <f>J41+J45-J42</f>
        <v>2322212.8865139727</v>
      </c>
    </row>
    <row r="49" spans="10:10" x14ac:dyDescent="0.3">
      <c r="J49" s="312"/>
    </row>
  </sheetData>
  <mergeCells count="15"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  <mergeCell ref="A1:J1"/>
    <mergeCell ref="A2:I2"/>
    <mergeCell ref="A3:J3"/>
    <mergeCell ref="A4:A5"/>
    <mergeCell ref="H4:H5"/>
    <mergeCell ref="A38:J38"/>
  </mergeCells>
  <printOptions horizontalCentered="1" verticalCentered="1"/>
  <pageMargins left="0.75" right="0.75" top="0.5" bottom="0.5" header="0.5" footer="0.5"/>
  <pageSetup scale="5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BAA6-28A6-4D33-B954-3783A75A44EF}">
  <sheetPr>
    <pageSetUpPr fitToPage="1"/>
  </sheetPr>
  <dimension ref="A1:N91"/>
  <sheetViews>
    <sheetView showGridLines="0" zoomScaleNormal="100" workbookViewId="0">
      <selection activeCell="A7" sqref="A7"/>
    </sheetView>
  </sheetViews>
  <sheetFormatPr defaultColWidth="10.6328125" defaultRowHeight="13.8" x14ac:dyDescent="0.3"/>
  <cols>
    <col min="1" max="1" width="13.54296875" style="2" customWidth="1"/>
    <col min="2" max="2" width="13.81640625" style="227" customWidth="1"/>
    <col min="3" max="3" width="11.6328125" style="2" customWidth="1"/>
    <col min="4" max="4" width="3.08984375" style="64" customWidth="1"/>
    <col min="5" max="5" width="10.6328125" style="2"/>
    <col min="6" max="6" width="8.26953125" style="2" customWidth="1"/>
    <col min="7" max="7" width="10.6328125" style="2"/>
    <col min="8" max="8" width="11" style="2" bestFit="1" customWidth="1"/>
    <col min="9" max="9" width="13.81640625" style="2" bestFit="1" customWidth="1"/>
    <col min="10" max="16384" width="10.6328125" style="2"/>
  </cols>
  <sheetData>
    <row r="1" spans="1:14" ht="18" x14ac:dyDescent="0.35">
      <c r="A1" s="788" t="s">
        <v>152</v>
      </c>
      <c r="B1" s="788"/>
      <c r="C1" s="788"/>
      <c r="D1" s="186"/>
    </row>
    <row r="2" spans="1:14" ht="18.600000000000001" thickBot="1" x14ac:dyDescent="0.4">
      <c r="A2" s="84" t="s">
        <v>335</v>
      </c>
      <c r="B2" s="542"/>
      <c r="C2" s="58">
        <f>'FINANCIAL COST SUMMARY '!I2</f>
        <v>46204</v>
      </c>
      <c r="D2" s="559"/>
    </row>
    <row r="3" spans="1:14" x14ac:dyDescent="0.3">
      <c r="A3" s="798"/>
      <c r="B3" s="798"/>
      <c r="C3" s="798"/>
      <c r="D3" s="560"/>
    </row>
    <row r="4" spans="1:14" s="227" customFormat="1" x14ac:dyDescent="0.3">
      <c r="A4" s="804" t="s">
        <v>23</v>
      </c>
      <c r="B4" s="804"/>
      <c r="C4" s="804"/>
      <c r="D4" s="561"/>
    </row>
    <row r="5" spans="1:14" s="230" customFormat="1" ht="41.4" x14ac:dyDescent="0.3">
      <c r="A5" s="86" t="s">
        <v>4</v>
      </c>
      <c r="B5" s="328" t="s">
        <v>337</v>
      </c>
      <c r="C5" s="229" t="s">
        <v>0</v>
      </c>
      <c r="D5" s="562"/>
    </row>
    <row r="6" spans="1:14" x14ac:dyDescent="0.3">
      <c r="A6" s="232">
        <v>46204</v>
      </c>
      <c r="B6" s="73">
        <v>100000000</v>
      </c>
      <c r="C6" s="73">
        <f t="shared" ref="C6:C36" si="0">SUM(B6:B6)</f>
        <v>100000000</v>
      </c>
      <c r="D6" s="563"/>
      <c r="E6" s="97">
        <v>46112</v>
      </c>
      <c r="F6" s="2">
        <v>90</v>
      </c>
      <c r="G6" s="97">
        <f>E6+F6</f>
        <v>46202</v>
      </c>
      <c r="I6" s="657" t="s">
        <v>292</v>
      </c>
      <c r="J6" s="657" t="s">
        <v>293</v>
      </c>
      <c r="K6" s="657" t="s">
        <v>220</v>
      </c>
      <c r="L6" s="657" t="s">
        <v>294</v>
      </c>
      <c r="M6" s="659" t="s">
        <v>162</v>
      </c>
      <c r="N6" s="659" t="s">
        <v>296</v>
      </c>
    </row>
    <row r="7" spans="1:14" x14ac:dyDescent="0.3">
      <c r="A7" s="232">
        <f>+A6+1</f>
        <v>46205</v>
      </c>
      <c r="B7" s="73">
        <v>100000000</v>
      </c>
      <c r="C7" s="73">
        <f t="shared" si="0"/>
        <v>100000000</v>
      </c>
      <c r="D7" s="563"/>
      <c r="I7" s="706">
        <v>46107</v>
      </c>
      <c r="J7" s="472">
        <v>180</v>
      </c>
      <c r="K7" s="706">
        <f>I7+J7</f>
        <v>46287</v>
      </c>
      <c r="L7" s="707">
        <v>100000000</v>
      </c>
      <c r="M7" s="663">
        <f>L7*B40*180/365</f>
        <v>5715616.4383561648</v>
      </c>
      <c r="N7" s="708">
        <f>B40</f>
        <v>0.1159</v>
      </c>
    </row>
    <row r="8" spans="1:14" x14ac:dyDescent="0.3">
      <c r="A8" s="232">
        <f t="shared" ref="A8:A36" si="1">+A7+1</f>
        <v>46206</v>
      </c>
      <c r="B8" s="73">
        <v>100000000</v>
      </c>
      <c r="C8" s="73">
        <f t="shared" si="0"/>
        <v>100000000</v>
      </c>
      <c r="D8" s="563"/>
      <c r="I8" s="706">
        <v>46112</v>
      </c>
      <c r="J8" s="472">
        <v>90</v>
      </c>
      <c r="K8" s="706">
        <f>I8+J8</f>
        <v>46202</v>
      </c>
      <c r="L8" s="707">
        <v>80000000</v>
      </c>
      <c r="M8" s="663" t="e">
        <f>L8*#REF!*90/365</f>
        <v>#REF!</v>
      </c>
      <c r="N8" s="708" t="e">
        <f>#REF!</f>
        <v>#REF!</v>
      </c>
    </row>
    <row r="9" spans="1:14" x14ac:dyDescent="0.3">
      <c r="A9" s="232">
        <f t="shared" si="1"/>
        <v>46207</v>
      </c>
      <c r="B9" s="73">
        <v>100000000</v>
      </c>
      <c r="C9" s="73">
        <f t="shared" si="0"/>
        <v>100000000</v>
      </c>
      <c r="D9" s="563"/>
    </row>
    <row r="10" spans="1:14" x14ac:dyDescent="0.3">
      <c r="A10" s="232">
        <f t="shared" si="1"/>
        <v>46208</v>
      </c>
      <c r="B10" s="73">
        <v>100000000</v>
      </c>
      <c r="C10" s="73">
        <f t="shared" si="0"/>
        <v>100000000</v>
      </c>
      <c r="D10" s="563"/>
    </row>
    <row r="11" spans="1:14" x14ac:dyDescent="0.3">
      <c r="A11" s="232">
        <f t="shared" si="1"/>
        <v>46209</v>
      </c>
      <c r="B11" s="73">
        <v>100000000</v>
      </c>
      <c r="C11" s="73">
        <f t="shared" si="0"/>
        <v>100000000</v>
      </c>
      <c r="D11" s="563"/>
    </row>
    <row r="12" spans="1:14" x14ac:dyDescent="0.3">
      <c r="A12" s="232">
        <f t="shared" si="1"/>
        <v>46210</v>
      </c>
      <c r="B12" s="73">
        <v>100000000</v>
      </c>
      <c r="C12" s="73">
        <f t="shared" si="0"/>
        <v>100000000</v>
      </c>
      <c r="D12" s="563"/>
    </row>
    <row r="13" spans="1:14" x14ac:dyDescent="0.3">
      <c r="A13" s="232">
        <f t="shared" si="1"/>
        <v>46211</v>
      </c>
      <c r="B13" s="73">
        <v>100000000</v>
      </c>
      <c r="C13" s="73">
        <f t="shared" si="0"/>
        <v>100000000</v>
      </c>
      <c r="D13" s="563"/>
    </row>
    <row r="14" spans="1:14" x14ac:dyDescent="0.3">
      <c r="A14" s="232">
        <f t="shared" si="1"/>
        <v>46212</v>
      </c>
      <c r="B14" s="73">
        <v>100000000</v>
      </c>
      <c r="C14" s="73">
        <f t="shared" si="0"/>
        <v>100000000</v>
      </c>
      <c r="D14" s="563"/>
    </row>
    <row r="15" spans="1:14" x14ac:dyDescent="0.3">
      <c r="A15" s="232">
        <f t="shared" si="1"/>
        <v>46213</v>
      </c>
      <c r="B15" s="73">
        <v>100000000</v>
      </c>
      <c r="C15" s="73">
        <f t="shared" si="0"/>
        <v>100000000</v>
      </c>
      <c r="D15" s="563"/>
    </row>
    <row r="16" spans="1:14" x14ac:dyDescent="0.3">
      <c r="A16" s="232">
        <f t="shared" si="1"/>
        <v>46214</v>
      </c>
      <c r="B16" s="73">
        <v>100000000</v>
      </c>
      <c r="C16" s="73">
        <f t="shared" si="0"/>
        <v>100000000</v>
      </c>
      <c r="D16" s="563"/>
      <c r="E16" s="356"/>
    </row>
    <row r="17" spans="1:7" x14ac:dyDescent="0.3">
      <c r="A17" s="232">
        <f t="shared" si="1"/>
        <v>46215</v>
      </c>
      <c r="B17" s="73">
        <v>100000000</v>
      </c>
      <c r="C17" s="73">
        <f t="shared" si="0"/>
        <v>100000000</v>
      </c>
      <c r="D17" s="563"/>
      <c r="F17" s="1"/>
      <c r="G17" s="1"/>
    </row>
    <row r="18" spans="1:7" x14ac:dyDescent="0.3">
      <c r="A18" s="232">
        <f t="shared" si="1"/>
        <v>46216</v>
      </c>
      <c r="B18" s="73">
        <v>100000000</v>
      </c>
      <c r="C18" s="73">
        <f t="shared" si="0"/>
        <v>100000000</v>
      </c>
      <c r="D18" s="563"/>
    </row>
    <row r="19" spans="1:7" x14ac:dyDescent="0.3">
      <c r="A19" s="232">
        <f t="shared" si="1"/>
        <v>46217</v>
      </c>
      <c r="B19" s="73">
        <v>100000000</v>
      </c>
      <c r="C19" s="73">
        <f t="shared" si="0"/>
        <v>100000000</v>
      </c>
      <c r="D19" s="563"/>
    </row>
    <row r="20" spans="1:7" x14ac:dyDescent="0.3">
      <c r="A20" s="232">
        <f t="shared" si="1"/>
        <v>46218</v>
      </c>
      <c r="B20" s="73">
        <v>100000000</v>
      </c>
      <c r="C20" s="73">
        <f t="shared" si="0"/>
        <v>100000000</v>
      </c>
      <c r="D20" s="563"/>
    </row>
    <row r="21" spans="1:7" x14ac:dyDescent="0.3">
      <c r="A21" s="232">
        <f t="shared" si="1"/>
        <v>46219</v>
      </c>
      <c r="B21" s="73">
        <v>100000000</v>
      </c>
      <c r="C21" s="73">
        <f t="shared" si="0"/>
        <v>100000000</v>
      </c>
      <c r="D21" s="563"/>
    </row>
    <row r="22" spans="1:7" x14ac:dyDescent="0.3">
      <c r="A22" s="232">
        <f t="shared" si="1"/>
        <v>46220</v>
      </c>
      <c r="B22" s="73">
        <v>100000000</v>
      </c>
      <c r="C22" s="73">
        <f t="shared" si="0"/>
        <v>100000000</v>
      </c>
      <c r="D22" s="563"/>
    </row>
    <row r="23" spans="1:7" x14ac:dyDescent="0.3">
      <c r="A23" s="232">
        <f t="shared" si="1"/>
        <v>46221</v>
      </c>
      <c r="B23" s="73">
        <v>100000000</v>
      </c>
      <c r="C23" s="73">
        <f t="shared" si="0"/>
        <v>100000000</v>
      </c>
      <c r="D23" s="563"/>
    </row>
    <row r="24" spans="1:7" x14ac:dyDescent="0.3">
      <c r="A24" s="232">
        <f t="shared" si="1"/>
        <v>46222</v>
      </c>
      <c r="B24" s="73">
        <v>100000000</v>
      </c>
      <c r="C24" s="73">
        <f t="shared" si="0"/>
        <v>100000000</v>
      </c>
      <c r="D24" s="563"/>
    </row>
    <row r="25" spans="1:7" x14ac:dyDescent="0.3">
      <c r="A25" s="232">
        <f t="shared" si="1"/>
        <v>46223</v>
      </c>
      <c r="B25" s="73">
        <v>100000000</v>
      </c>
      <c r="C25" s="73">
        <f t="shared" si="0"/>
        <v>100000000</v>
      </c>
      <c r="D25" s="563"/>
    </row>
    <row r="26" spans="1:7" x14ac:dyDescent="0.3">
      <c r="A26" s="232">
        <f t="shared" si="1"/>
        <v>46224</v>
      </c>
      <c r="B26" s="73">
        <v>100000000</v>
      </c>
      <c r="C26" s="73">
        <f t="shared" si="0"/>
        <v>100000000</v>
      </c>
      <c r="D26" s="563"/>
      <c r="F26" s="1"/>
    </row>
    <row r="27" spans="1:7" x14ac:dyDescent="0.3">
      <c r="A27" s="232">
        <f t="shared" si="1"/>
        <v>46225</v>
      </c>
      <c r="B27" s="73">
        <v>100000000</v>
      </c>
      <c r="C27" s="73">
        <f t="shared" si="0"/>
        <v>100000000</v>
      </c>
      <c r="D27" s="563"/>
    </row>
    <row r="28" spans="1:7" x14ac:dyDescent="0.3">
      <c r="A28" s="232">
        <f t="shared" si="1"/>
        <v>46226</v>
      </c>
      <c r="B28" s="73">
        <v>100000000</v>
      </c>
      <c r="C28" s="73">
        <f t="shared" si="0"/>
        <v>100000000</v>
      </c>
      <c r="D28" s="563"/>
    </row>
    <row r="29" spans="1:7" x14ac:dyDescent="0.3">
      <c r="A29" s="232">
        <f t="shared" si="1"/>
        <v>46227</v>
      </c>
      <c r="B29" s="73">
        <v>100000000</v>
      </c>
      <c r="C29" s="73">
        <f t="shared" si="0"/>
        <v>100000000</v>
      </c>
      <c r="D29" s="563"/>
      <c r="E29" s="227"/>
    </row>
    <row r="30" spans="1:7" x14ac:dyDescent="0.3">
      <c r="A30" s="232">
        <f t="shared" si="1"/>
        <v>46228</v>
      </c>
      <c r="B30" s="73">
        <v>100000000</v>
      </c>
      <c r="C30" s="73">
        <f t="shared" si="0"/>
        <v>100000000</v>
      </c>
      <c r="D30" s="563"/>
    </row>
    <row r="31" spans="1:7" x14ac:dyDescent="0.3">
      <c r="A31" s="232">
        <f t="shared" si="1"/>
        <v>46229</v>
      </c>
      <c r="B31" s="73">
        <v>100000000</v>
      </c>
      <c r="C31" s="73">
        <f t="shared" si="0"/>
        <v>100000000</v>
      </c>
      <c r="D31" s="563"/>
    </row>
    <row r="32" spans="1:7" x14ac:dyDescent="0.3">
      <c r="A32" s="232">
        <f t="shared" si="1"/>
        <v>46230</v>
      </c>
      <c r="B32" s="73">
        <v>100000000</v>
      </c>
      <c r="C32" s="73">
        <f t="shared" si="0"/>
        <v>100000000</v>
      </c>
      <c r="D32" s="563"/>
    </row>
    <row r="33" spans="1:12" x14ac:dyDescent="0.3">
      <c r="A33" s="232">
        <f t="shared" si="1"/>
        <v>46231</v>
      </c>
      <c r="B33" s="73">
        <v>100000000</v>
      </c>
      <c r="C33" s="73">
        <f t="shared" si="0"/>
        <v>100000000</v>
      </c>
      <c r="D33" s="563"/>
    </row>
    <row r="34" spans="1:12" x14ac:dyDescent="0.3">
      <c r="A34" s="232">
        <f t="shared" si="1"/>
        <v>46232</v>
      </c>
      <c r="B34" s="73">
        <v>100000000</v>
      </c>
      <c r="C34" s="73">
        <f t="shared" si="0"/>
        <v>100000000</v>
      </c>
      <c r="D34" s="563"/>
    </row>
    <row r="35" spans="1:12" x14ac:dyDescent="0.3">
      <c r="A35" s="232">
        <f t="shared" si="1"/>
        <v>46233</v>
      </c>
      <c r="B35" s="73">
        <v>100000000</v>
      </c>
      <c r="C35" s="73">
        <f t="shared" si="0"/>
        <v>100000000</v>
      </c>
      <c r="D35" s="563"/>
    </row>
    <row r="36" spans="1:12" x14ac:dyDescent="0.3">
      <c r="A36" s="232">
        <f t="shared" si="1"/>
        <v>46234</v>
      </c>
      <c r="B36" s="73">
        <v>100000000</v>
      </c>
      <c r="C36" s="73">
        <f t="shared" si="0"/>
        <v>100000000</v>
      </c>
      <c r="D36" s="563"/>
    </row>
    <row r="37" spans="1:12" x14ac:dyDescent="0.3">
      <c r="A37" s="796"/>
      <c r="B37" s="796"/>
      <c r="C37" s="796"/>
      <c r="D37" s="558"/>
    </row>
    <row r="38" spans="1:12" x14ac:dyDescent="0.3">
      <c r="A38" s="799" t="s">
        <v>43</v>
      </c>
      <c r="B38" s="799"/>
      <c r="C38" s="799"/>
      <c r="D38" s="561"/>
    </row>
    <row r="39" spans="1:12" s="230" customFormat="1" ht="46.2" customHeight="1" x14ac:dyDescent="0.3">
      <c r="A39" s="86" t="s">
        <v>4</v>
      </c>
      <c r="B39" s="529" t="str">
        <f>B5</f>
        <v>Disbursement 1
C.D 26.03.2026 M.D. 22.09.2026</v>
      </c>
      <c r="C39" s="229" t="s">
        <v>0</v>
      </c>
      <c r="D39" s="562"/>
      <c r="L39" s="2"/>
    </row>
    <row r="40" spans="1:12" s="105" customFormat="1" ht="27.6" x14ac:dyDescent="0.25">
      <c r="A40" s="316" t="s">
        <v>336</v>
      </c>
      <c r="B40" s="343">
        <f>11.44%+0.15%</f>
        <v>0.1159</v>
      </c>
      <c r="C40" s="233"/>
      <c r="D40" s="564"/>
    </row>
    <row r="41" spans="1:12" x14ac:dyDescent="0.3">
      <c r="A41" s="232">
        <f t="shared" ref="A41:A71" si="2">+A6</f>
        <v>46204</v>
      </c>
      <c r="B41" s="73">
        <f t="shared" ref="B41:B71" si="3">IF(B6&lt;0,0,B6*B$40/365)</f>
        <v>31753.424657534248</v>
      </c>
      <c r="C41" s="73">
        <f t="shared" ref="C41:C71" si="4">SUM(B41:B41)</f>
        <v>31753.424657534248</v>
      </c>
      <c r="D41" s="563"/>
    </row>
    <row r="42" spans="1:12" x14ac:dyDescent="0.3">
      <c r="A42" s="232">
        <f t="shared" si="2"/>
        <v>46205</v>
      </c>
      <c r="B42" s="73">
        <f t="shared" si="3"/>
        <v>31753.424657534248</v>
      </c>
      <c r="C42" s="73">
        <f t="shared" si="4"/>
        <v>31753.424657534248</v>
      </c>
      <c r="D42" s="563"/>
    </row>
    <row r="43" spans="1:12" x14ac:dyDescent="0.3">
      <c r="A43" s="232">
        <f t="shared" si="2"/>
        <v>46206</v>
      </c>
      <c r="B43" s="73">
        <f t="shared" si="3"/>
        <v>31753.424657534248</v>
      </c>
      <c r="C43" s="73">
        <f t="shared" si="4"/>
        <v>31753.424657534248</v>
      </c>
      <c r="D43" s="563"/>
    </row>
    <row r="44" spans="1:12" x14ac:dyDescent="0.3">
      <c r="A44" s="232">
        <f t="shared" si="2"/>
        <v>46207</v>
      </c>
      <c r="B44" s="73">
        <f t="shared" si="3"/>
        <v>31753.424657534248</v>
      </c>
      <c r="C44" s="73">
        <f t="shared" si="4"/>
        <v>31753.424657534248</v>
      </c>
      <c r="D44" s="563"/>
    </row>
    <row r="45" spans="1:12" x14ac:dyDescent="0.3">
      <c r="A45" s="232">
        <f t="shared" si="2"/>
        <v>46208</v>
      </c>
      <c r="B45" s="73">
        <f t="shared" si="3"/>
        <v>31753.424657534248</v>
      </c>
      <c r="C45" s="73">
        <f t="shared" si="4"/>
        <v>31753.424657534248</v>
      </c>
      <c r="D45" s="563"/>
    </row>
    <row r="46" spans="1:12" x14ac:dyDescent="0.3">
      <c r="A46" s="232">
        <f t="shared" si="2"/>
        <v>46209</v>
      </c>
      <c r="B46" s="73">
        <f t="shared" si="3"/>
        <v>31753.424657534248</v>
      </c>
      <c r="C46" s="73">
        <f t="shared" si="4"/>
        <v>31753.424657534248</v>
      </c>
      <c r="D46" s="563"/>
    </row>
    <row r="47" spans="1:12" x14ac:dyDescent="0.3">
      <c r="A47" s="232">
        <f t="shared" si="2"/>
        <v>46210</v>
      </c>
      <c r="B47" s="73">
        <f t="shared" si="3"/>
        <v>31753.424657534248</v>
      </c>
      <c r="C47" s="73">
        <f t="shared" si="4"/>
        <v>31753.424657534248</v>
      </c>
      <c r="D47" s="563"/>
    </row>
    <row r="48" spans="1:12" x14ac:dyDescent="0.3">
      <c r="A48" s="232">
        <f t="shared" si="2"/>
        <v>46211</v>
      </c>
      <c r="B48" s="73">
        <f t="shared" si="3"/>
        <v>31753.424657534248</v>
      </c>
      <c r="C48" s="73">
        <f t="shared" si="4"/>
        <v>31753.424657534248</v>
      </c>
      <c r="D48" s="563"/>
    </row>
    <row r="49" spans="1:4" x14ac:dyDescent="0.3">
      <c r="A49" s="232">
        <f t="shared" si="2"/>
        <v>46212</v>
      </c>
      <c r="B49" s="73">
        <f t="shared" si="3"/>
        <v>31753.424657534248</v>
      </c>
      <c r="C49" s="73">
        <f t="shared" si="4"/>
        <v>31753.424657534248</v>
      </c>
      <c r="D49" s="563"/>
    </row>
    <row r="50" spans="1:4" x14ac:dyDescent="0.3">
      <c r="A50" s="232">
        <f t="shared" si="2"/>
        <v>46213</v>
      </c>
      <c r="B50" s="73">
        <f t="shared" si="3"/>
        <v>31753.424657534248</v>
      </c>
      <c r="C50" s="73">
        <f t="shared" si="4"/>
        <v>31753.424657534248</v>
      </c>
      <c r="D50" s="563"/>
    </row>
    <row r="51" spans="1:4" x14ac:dyDescent="0.3">
      <c r="A51" s="232">
        <f t="shared" si="2"/>
        <v>46214</v>
      </c>
      <c r="B51" s="73">
        <f t="shared" si="3"/>
        <v>31753.424657534248</v>
      </c>
      <c r="C51" s="73">
        <f t="shared" si="4"/>
        <v>31753.424657534248</v>
      </c>
      <c r="D51" s="563"/>
    </row>
    <row r="52" spans="1:4" x14ac:dyDescent="0.3">
      <c r="A52" s="232">
        <f t="shared" si="2"/>
        <v>46215</v>
      </c>
      <c r="B52" s="73">
        <f t="shared" si="3"/>
        <v>31753.424657534248</v>
      </c>
      <c r="C52" s="73">
        <f t="shared" si="4"/>
        <v>31753.424657534248</v>
      </c>
      <c r="D52" s="563"/>
    </row>
    <row r="53" spans="1:4" x14ac:dyDescent="0.3">
      <c r="A53" s="232">
        <f t="shared" si="2"/>
        <v>46216</v>
      </c>
      <c r="B53" s="73">
        <f t="shared" si="3"/>
        <v>31753.424657534248</v>
      </c>
      <c r="C53" s="73">
        <f t="shared" si="4"/>
        <v>31753.424657534248</v>
      </c>
      <c r="D53" s="563"/>
    </row>
    <row r="54" spans="1:4" x14ac:dyDescent="0.3">
      <c r="A54" s="232">
        <f t="shared" si="2"/>
        <v>46217</v>
      </c>
      <c r="B54" s="73">
        <f t="shared" si="3"/>
        <v>31753.424657534248</v>
      </c>
      <c r="C54" s="73">
        <f t="shared" si="4"/>
        <v>31753.424657534248</v>
      </c>
      <c r="D54" s="563"/>
    </row>
    <row r="55" spans="1:4" x14ac:dyDescent="0.3">
      <c r="A55" s="232">
        <f t="shared" si="2"/>
        <v>46218</v>
      </c>
      <c r="B55" s="73">
        <f t="shared" si="3"/>
        <v>31753.424657534248</v>
      </c>
      <c r="C55" s="73">
        <f t="shared" si="4"/>
        <v>31753.424657534248</v>
      </c>
      <c r="D55" s="563"/>
    </row>
    <row r="56" spans="1:4" x14ac:dyDescent="0.3">
      <c r="A56" s="232">
        <f t="shared" si="2"/>
        <v>46219</v>
      </c>
      <c r="B56" s="73">
        <f t="shared" si="3"/>
        <v>31753.424657534248</v>
      </c>
      <c r="C56" s="73">
        <f t="shared" si="4"/>
        <v>31753.424657534248</v>
      </c>
      <c r="D56" s="563"/>
    </row>
    <row r="57" spans="1:4" x14ac:dyDescent="0.3">
      <c r="A57" s="232">
        <f t="shared" si="2"/>
        <v>46220</v>
      </c>
      <c r="B57" s="73">
        <f t="shared" si="3"/>
        <v>31753.424657534248</v>
      </c>
      <c r="C57" s="73">
        <f t="shared" si="4"/>
        <v>31753.424657534248</v>
      </c>
      <c r="D57" s="563"/>
    </row>
    <row r="58" spans="1:4" x14ac:dyDescent="0.3">
      <c r="A58" s="232">
        <f t="shared" si="2"/>
        <v>46221</v>
      </c>
      <c r="B58" s="73">
        <f t="shared" si="3"/>
        <v>31753.424657534248</v>
      </c>
      <c r="C58" s="73">
        <f t="shared" si="4"/>
        <v>31753.424657534248</v>
      </c>
      <c r="D58" s="563"/>
    </row>
    <row r="59" spans="1:4" x14ac:dyDescent="0.3">
      <c r="A59" s="232">
        <f t="shared" si="2"/>
        <v>46222</v>
      </c>
      <c r="B59" s="73">
        <f t="shared" si="3"/>
        <v>31753.424657534248</v>
      </c>
      <c r="C59" s="73">
        <f t="shared" si="4"/>
        <v>31753.424657534248</v>
      </c>
      <c r="D59" s="563"/>
    </row>
    <row r="60" spans="1:4" x14ac:dyDescent="0.3">
      <c r="A60" s="232">
        <f t="shared" si="2"/>
        <v>46223</v>
      </c>
      <c r="B60" s="73">
        <f t="shared" si="3"/>
        <v>31753.424657534248</v>
      </c>
      <c r="C60" s="73">
        <f t="shared" si="4"/>
        <v>31753.424657534248</v>
      </c>
      <c r="D60" s="563"/>
    </row>
    <row r="61" spans="1:4" x14ac:dyDescent="0.3">
      <c r="A61" s="232">
        <f t="shared" si="2"/>
        <v>46224</v>
      </c>
      <c r="B61" s="73">
        <f t="shared" si="3"/>
        <v>31753.424657534248</v>
      </c>
      <c r="C61" s="73">
        <f t="shared" si="4"/>
        <v>31753.424657534248</v>
      </c>
      <c r="D61" s="563"/>
    </row>
    <row r="62" spans="1:4" x14ac:dyDescent="0.3">
      <c r="A62" s="232">
        <f t="shared" si="2"/>
        <v>46225</v>
      </c>
      <c r="B62" s="73">
        <f t="shared" si="3"/>
        <v>31753.424657534248</v>
      </c>
      <c r="C62" s="73">
        <f t="shared" si="4"/>
        <v>31753.424657534248</v>
      </c>
      <c r="D62" s="563"/>
    </row>
    <row r="63" spans="1:4" x14ac:dyDescent="0.3">
      <c r="A63" s="232">
        <f t="shared" si="2"/>
        <v>46226</v>
      </c>
      <c r="B63" s="73">
        <f t="shared" si="3"/>
        <v>31753.424657534248</v>
      </c>
      <c r="C63" s="73">
        <f t="shared" si="4"/>
        <v>31753.424657534248</v>
      </c>
      <c r="D63" s="563"/>
    </row>
    <row r="64" spans="1:4" ht="14.4" customHeight="1" x14ac:dyDescent="0.3">
      <c r="A64" s="232">
        <f t="shared" si="2"/>
        <v>46227</v>
      </c>
      <c r="B64" s="73">
        <f t="shared" si="3"/>
        <v>31753.424657534248</v>
      </c>
      <c r="C64" s="73">
        <f t="shared" si="4"/>
        <v>31753.424657534248</v>
      </c>
      <c r="D64" s="563"/>
    </row>
    <row r="65" spans="1:5" x14ac:dyDescent="0.3">
      <c r="A65" s="232">
        <f t="shared" si="2"/>
        <v>46228</v>
      </c>
      <c r="B65" s="73">
        <f t="shared" si="3"/>
        <v>31753.424657534248</v>
      </c>
      <c r="C65" s="73">
        <f t="shared" si="4"/>
        <v>31753.424657534248</v>
      </c>
      <c r="D65" s="563"/>
    </row>
    <row r="66" spans="1:5" x14ac:dyDescent="0.3">
      <c r="A66" s="232">
        <f t="shared" si="2"/>
        <v>46229</v>
      </c>
      <c r="B66" s="73">
        <f t="shared" si="3"/>
        <v>31753.424657534248</v>
      </c>
      <c r="C66" s="73">
        <f t="shared" si="4"/>
        <v>31753.424657534248</v>
      </c>
      <c r="D66" s="563"/>
    </row>
    <row r="67" spans="1:5" x14ac:dyDescent="0.3">
      <c r="A67" s="232">
        <f t="shared" si="2"/>
        <v>46230</v>
      </c>
      <c r="B67" s="73">
        <f t="shared" si="3"/>
        <v>31753.424657534248</v>
      </c>
      <c r="C67" s="73">
        <f t="shared" si="4"/>
        <v>31753.424657534248</v>
      </c>
      <c r="D67" s="563"/>
    </row>
    <row r="68" spans="1:5" x14ac:dyDescent="0.3">
      <c r="A68" s="232">
        <f t="shared" si="2"/>
        <v>46231</v>
      </c>
      <c r="B68" s="73">
        <f t="shared" si="3"/>
        <v>31753.424657534248</v>
      </c>
      <c r="C68" s="73">
        <f t="shared" si="4"/>
        <v>31753.424657534248</v>
      </c>
      <c r="D68" s="563"/>
    </row>
    <row r="69" spans="1:5" x14ac:dyDescent="0.3">
      <c r="A69" s="232">
        <f t="shared" si="2"/>
        <v>46232</v>
      </c>
      <c r="B69" s="73">
        <f t="shared" si="3"/>
        <v>31753.424657534248</v>
      </c>
      <c r="C69" s="73">
        <f t="shared" si="4"/>
        <v>31753.424657534248</v>
      </c>
      <c r="D69" s="563"/>
    </row>
    <row r="70" spans="1:5" x14ac:dyDescent="0.3">
      <c r="A70" s="232">
        <f t="shared" si="2"/>
        <v>46233</v>
      </c>
      <c r="B70" s="73">
        <f t="shared" si="3"/>
        <v>31753.424657534248</v>
      </c>
      <c r="C70" s="73">
        <f t="shared" si="4"/>
        <v>31753.424657534248</v>
      </c>
      <c r="D70" s="563"/>
    </row>
    <row r="71" spans="1:5" x14ac:dyDescent="0.3">
      <c r="A71" s="232">
        <f t="shared" si="2"/>
        <v>46234</v>
      </c>
      <c r="B71" s="73">
        <f t="shared" si="3"/>
        <v>31753.424657534248</v>
      </c>
      <c r="C71" s="73">
        <f t="shared" si="4"/>
        <v>31753.424657534248</v>
      </c>
      <c r="D71" s="563"/>
    </row>
    <row r="72" spans="1:5" x14ac:dyDescent="0.3">
      <c r="A72" s="530" t="s">
        <v>18</v>
      </c>
      <c r="B72" s="234">
        <f>SUM(B41:B71)</f>
        <v>984356.16438356123</v>
      </c>
      <c r="C72" s="531">
        <f>SUM(C41:C71)</f>
        <v>984356.16438356123</v>
      </c>
      <c r="D72" s="565"/>
    </row>
    <row r="73" spans="1:5" x14ac:dyDescent="0.3">
      <c r="A73" s="795"/>
      <c r="B73" s="795"/>
      <c r="C73" s="795"/>
      <c r="D73" s="566"/>
    </row>
    <row r="74" spans="1:5" x14ac:dyDescent="0.3">
      <c r="A74" s="799" t="s">
        <v>46</v>
      </c>
      <c r="B74" s="799"/>
      <c r="C74" s="799"/>
      <c r="D74" s="561"/>
    </row>
    <row r="75" spans="1:5" s="230" customFormat="1" ht="41.4" x14ac:dyDescent="0.3">
      <c r="A75" s="86" t="s">
        <v>22</v>
      </c>
      <c r="B75" s="529" t="str">
        <f>B39</f>
        <v>Disbursement 1
C.D 26.03.2026 M.D. 22.09.2026</v>
      </c>
      <c r="C75" s="229" t="s">
        <v>0</v>
      </c>
      <c r="D75" s="562"/>
    </row>
    <row r="76" spans="1:5" x14ac:dyDescent="0.3">
      <c r="A76" s="235" t="s">
        <v>19</v>
      </c>
      <c r="B76" s="158">
        <f>'[3]FBL-ISTISNA'!$B$85</f>
        <v>3080082.191780821</v>
      </c>
      <c r="C76" s="455">
        <f>SUM(B76:B76)</f>
        <v>3080082.191780821</v>
      </c>
      <c r="D76" s="565"/>
      <c r="E76" s="189"/>
    </row>
    <row r="77" spans="1:5" x14ac:dyDescent="0.3">
      <c r="A77" s="235" t="s">
        <v>20</v>
      </c>
      <c r="B77" s="73">
        <f>B72</f>
        <v>984356.16438356123</v>
      </c>
      <c r="C77" s="455">
        <f>SUM(B77:B77)</f>
        <v>984356.16438356123</v>
      </c>
      <c r="D77" s="565"/>
    </row>
    <row r="78" spans="1:5" s="64" customFormat="1" x14ac:dyDescent="0.3">
      <c r="A78" s="448" t="s">
        <v>29</v>
      </c>
      <c r="B78" s="213"/>
      <c r="C78" s="165">
        <f>SUM(B78:B78)</f>
        <v>0</v>
      </c>
      <c r="D78" s="565"/>
    </row>
    <row r="79" spans="1:5" x14ac:dyDescent="0.3">
      <c r="A79" s="235" t="s">
        <v>18</v>
      </c>
      <c r="B79" s="73">
        <f>SUM(B76:B78)</f>
        <v>4064438.3561643823</v>
      </c>
      <c r="C79" s="455">
        <f>SUM(B79:B79)</f>
        <v>4064438.3561643823</v>
      </c>
      <c r="D79" s="565"/>
    </row>
    <row r="80" spans="1:5" x14ac:dyDescent="0.3">
      <c r="A80" s="796"/>
      <c r="B80" s="805"/>
      <c r="C80" s="796"/>
      <c r="D80" s="558"/>
    </row>
    <row r="81" spans="1:8" x14ac:dyDescent="0.3">
      <c r="A81" s="236" t="s">
        <v>32</v>
      </c>
      <c r="B81" s="158">
        <v>0</v>
      </c>
      <c r="C81" s="165">
        <f>SUM(B81:B81)</f>
        <v>0</v>
      </c>
      <c r="D81" s="565"/>
      <c r="E81" s="237"/>
    </row>
    <row r="82" spans="1:8" x14ac:dyDescent="0.3">
      <c r="A82" s="795"/>
      <c r="B82" s="795"/>
      <c r="C82" s="795"/>
      <c r="D82" s="566"/>
    </row>
    <row r="83" spans="1:8" x14ac:dyDescent="0.3">
      <c r="A83" s="236" t="s">
        <v>11</v>
      </c>
      <c r="B83" s="449">
        <v>0</v>
      </c>
      <c r="C83" s="450">
        <f>SUM(B83:B83)</f>
        <v>0</v>
      </c>
      <c r="D83" s="567"/>
    </row>
    <row r="84" spans="1:8" x14ac:dyDescent="0.3">
      <c r="A84" s="795"/>
      <c r="B84" s="795"/>
      <c r="C84" s="795"/>
      <c r="D84" s="566"/>
    </row>
    <row r="85" spans="1:8" x14ac:dyDescent="0.3">
      <c r="A85" s="238" t="s">
        <v>21</v>
      </c>
      <c r="B85" s="79">
        <f>B72+B83+B78</f>
        <v>984356.16438356123</v>
      </c>
      <c r="C85" s="79">
        <f>SUM(B85:B85)</f>
        <v>984356.16438356123</v>
      </c>
      <c r="D85" s="565"/>
    </row>
    <row r="86" spans="1:8" x14ac:dyDescent="0.3">
      <c r="A86" s="795"/>
      <c r="B86" s="795"/>
      <c r="C86" s="795"/>
      <c r="D86" s="566"/>
    </row>
    <row r="87" spans="1:8" x14ac:dyDescent="0.3">
      <c r="A87" s="239" t="s">
        <v>33</v>
      </c>
      <c r="B87" s="240">
        <f>B79+B83-B81</f>
        <v>4064438.3561643823</v>
      </c>
      <c r="C87" s="240">
        <f>SUM(B87:B87)</f>
        <v>4064438.3561643823</v>
      </c>
      <c r="D87" s="565"/>
      <c r="H87" s="312"/>
    </row>
    <row r="91" spans="1:8" x14ac:dyDescent="0.3">
      <c r="B91" s="499"/>
    </row>
  </sheetData>
  <mergeCells count="11">
    <mergeCell ref="A1:C1"/>
    <mergeCell ref="A3:C3"/>
    <mergeCell ref="A4:C4"/>
    <mergeCell ref="A37:C37"/>
    <mergeCell ref="A38:C38"/>
    <mergeCell ref="A73:C73"/>
    <mergeCell ref="A74:C74"/>
    <mergeCell ref="A80:C80"/>
    <mergeCell ref="A82:C82"/>
    <mergeCell ref="A84:C84"/>
    <mergeCell ref="A86:C86"/>
  </mergeCells>
  <printOptions horizontalCentered="1" verticalCentered="1"/>
  <pageMargins left="0.25" right="0.25" top="0.5" bottom="0.5" header="0.5" footer="0.5"/>
  <pageSetup scale="41" orientation="landscape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FD32-669A-4CC3-8408-6FC4CABDB3E7}">
  <sheetPr>
    <pageSetUpPr fitToPage="1"/>
  </sheetPr>
  <dimension ref="A1:Q49"/>
  <sheetViews>
    <sheetView showGridLines="0" zoomScaleNormal="100" zoomScaleSheetLayoutView="100" workbookViewId="0">
      <selection activeCell="K5" sqref="K5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11" style="123" bestFit="1" customWidth="1"/>
    <col min="5" max="5" width="12" style="123" customWidth="1"/>
    <col min="6" max="6" width="2.36328125" style="2" customWidth="1"/>
    <col min="7" max="7" width="7.90625" style="2" customWidth="1"/>
    <col min="8" max="8" width="8.81640625" style="2" customWidth="1"/>
    <col min="9" max="9" width="6.90625" style="2" customWidth="1"/>
    <col min="10" max="10" width="11.08984375" style="2" customWidth="1"/>
    <col min="11" max="11" width="12.26953125" style="2" bestFit="1" customWidth="1"/>
    <col min="12" max="12" width="13.81640625" style="2" bestFit="1" customWidth="1"/>
    <col min="13" max="13" width="4.54296875" style="2" bestFit="1" customWidth="1"/>
    <col min="14" max="14" width="9.90625" style="2" bestFit="1" customWidth="1"/>
    <col min="15" max="15" width="9.81640625" style="2" customWidth="1"/>
    <col min="16" max="16" width="11" style="2" customWidth="1"/>
    <col min="17" max="17" width="5.54296875" style="2" bestFit="1" customWidth="1"/>
    <col min="18" max="16384" width="10.6328125" style="2"/>
  </cols>
  <sheetData>
    <row r="1" spans="1:17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7" ht="18.600000000000001" thickBot="1" x14ac:dyDescent="0.4">
      <c r="A2" s="789" t="s">
        <v>332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7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443">
        <v>0</v>
      </c>
    </row>
    <row r="4" spans="1:17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811" t="s">
        <v>334</v>
      </c>
      <c r="I4" s="245" t="s">
        <v>161</v>
      </c>
      <c r="J4" s="246" t="s">
        <v>162</v>
      </c>
    </row>
    <row r="5" spans="1:17" x14ac:dyDescent="0.3">
      <c r="A5" s="810"/>
      <c r="B5" s="521" t="s">
        <v>1</v>
      </c>
      <c r="C5" s="521" t="s">
        <v>12</v>
      </c>
      <c r="D5" s="521" t="s">
        <v>13</v>
      </c>
      <c r="E5" s="521" t="s">
        <v>163</v>
      </c>
      <c r="G5" s="248" t="s">
        <v>164</v>
      </c>
      <c r="H5" s="812"/>
      <c r="I5" s="249" t="s">
        <v>165</v>
      </c>
      <c r="J5" s="250" t="s">
        <v>166</v>
      </c>
      <c r="L5" s="657" t="s">
        <v>292</v>
      </c>
      <c r="M5" s="657" t="s">
        <v>293</v>
      </c>
      <c r="N5" s="657" t="s">
        <v>220</v>
      </c>
      <c r="O5" s="657" t="s">
        <v>294</v>
      </c>
      <c r="P5" s="659" t="s">
        <v>162</v>
      </c>
      <c r="Q5" s="659" t="s">
        <v>296</v>
      </c>
    </row>
    <row r="6" spans="1:17" x14ac:dyDescent="0.3">
      <c r="A6" s="520">
        <v>46082</v>
      </c>
      <c r="B6" s="327">
        <v>0</v>
      </c>
      <c r="C6" s="325"/>
      <c r="D6" s="251"/>
      <c r="E6" s="73">
        <f>SUM(B6:D6)</f>
        <v>0</v>
      </c>
      <c r="G6" s="256">
        <v>1.5E-3</v>
      </c>
      <c r="H6" s="253">
        <v>0.11459999999999999</v>
      </c>
      <c r="I6" s="254">
        <f>+H6+G6</f>
        <v>0.11609999999999999</v>
      </c>
      <c r="J6" s="255">
        <f>IF(E6&lt;0,0,E6*I6/365)</f>
        <v>0</v>
      </c>
      <c r="K6" s="312">
        <f>+E6-K3</f>
        <v>0</v>
      </c>
      <c r="L6" s="97">
        <v>46107</v>
      </c>
      <c r="M6" s="472">
        <v>180</v>
      </c>
      <c r="N6" s="97">
        <f>L6+M6</f>
        <v>46287</v>
      </c>
      <c r="O6" s="703">
        <v>100000000</v>
      </c>
      <c r="P6" s="1">
        <f>O6*I6*180/365</f>
        <v>5725479.4520547949</v>
      </c>
      <c r="Q6" s="704">
        <v>0.11609999999999999</v>
      </c>
    </row>
    <row r="7" spans="1:17" x14ac:dyDescent="0.3">
      <c r="A7" s="324">
        <f>+A6+1</f>
        <v>46083</v>
      </c>
      <c r="B7" s="327">
        <v>0</v>
      </c>
      <c r="C7" s="325"/>
      <c r="D7" s="251"/>
      <c r="E7" s="73">
        <f t="shared" ref="E7:E32" si="0">SUM(B7:D7)</f>
        <v>0</v>
      </c>
      <c r="G7" s="256">
        <v>1.5E-3</v>
      </c>
      <c r="H7" s="253">
        <f>H6</f>
        <v>0.11459999999999999</v>
      </c>
      <c r="I7" s="254">
        <f t="shared" ref="I7:I33" si="1">+H7+G7</f>
        <v>0.11609999999999999</v>
      </c>
      <c r="J7" s="255">
        <f t="shared" ref="J7:J33" si="2">IF(E7&lt;0,0,E7*I7/365)</f>
        <v>0</v>
      </c>
      <c r="K7" s="74">
        <f>+E7-E6</f>
        <v>0</v>
      </c>
      <c r="L7" s="97">
        <v>46112</v>
      </c>
      <c r="M7" s="472">
        <v>90</v>
      </c>
      <c r="N7" s="97">
        <f>L7+M7</f>
        <v>46202</v>
      </c>
      <c r="O7" s="703">
        <v>80000000</v>
      </c>
      <c r="P7" s="1">
        <f>O7*I7*180/365</f>
        <v>4580383.5616438352</v>
      </c>
      <c r="Q7" s="704">
        <v>0.11609999999999999</v>
      </c>
    </row>
    <row r="8" spans="1:17" s="359" customFormat="1" x14ac:dyDescent="0.3">
      <c r="A8" s="469">
        <f t="shared" ref="A8:A36" si="3">+A7+1</f>
        <v>46084</v>
      </c>
      <c r="B8" s="327">
        <v>0</v>
      </c>
      <c r="C8" s="470"/>
      <c r="D8" s="327"/>
      <c r="E8" s="313">
        <f t="shared" si="0"/>
        <v>0</v>
      </c>
      <c r="G8" s="256">
        <v>1.5E-3</v>
      </c>
      <c r="H8" s="253">
        <f t="shared" ref="H8:H36" si="4">H7</f>
        <v>0.11459999999999999</v>
      </c>
      <c r="I8" s="254">
        <f t="shared" si="1"/>
        <v>0.11609999999999999</v>
      </c>
      <c r="J8" s="255">
        <f t="shared" si="2"/>
        <v>0</v>
      </c>
      <c r="K8" s="363">
        <f t="shared" ref="K8:K32" si="5">+E8-E7</f>
        <v>0</v>
      </c>
    </row>
    <row r="9" spans="1:17" x14ac:dyDescent="0.3">
      <c r="A9" s="324">
        <f t="shared" si="3"/>
        <v>46085</v>
      </c>
      <c r="B9" s="327">
        <v>0</v>
      </c>
      <c r="C9" s="325"/>
      <c r="D9" s="251"/>
      <c r="E9" s="73">
        <f t="shared" si="0"/>
        <v>0</v>
      </c>
      <c r="G9" s="256">
        <v>1.5E-3</v>
      </c>
      <c r="H9" s="253">
        <f t="shared" si="4"/>
        <v>0.11459999999999999</v>
      </c>
      <c r="I9" s="254">
        <f t="shared" si="1"/>
        <v>0.11609999999999999</v>
      </c>
      <c r="J9" s="255">
        <f t="shared" si="2"/>
        <v>0</v>
      </c>
      <c r="K9" s="74">
        <f t="shared" si="5"/>
        <v>0</v>
      </c>
    </row>
    <row r="10" spans="1:17" x14ac:dyDescent="0.3">
      <c r="A10" s="232">
        <f t="shared" si="3"/>
        <v>46086</v>
      </c>
      <c r="B10" s="327">
        <v>0</v>
      </c>
      <c r="C10" s="73"/>
      <c r="D10" s="73"/>
      <c r="E10" s="73">
        <f t="shared" si="0"/>
        <v>0</v>
      </c>
      <c r="G10" s="256">
        <v>1.5E-3</v>
      </c>
      <c r="H10" s="253">
        <f t="shared" si="4"/>
        <v>0.11459999999999999</v>
      </c>
      <c r="I10" s="254">
        <f t="shared" si="1"/>
        <v>0.11609999999999999</v>
      </c>
      <c r="J10" s="255">
        <f t="shared" si="2"/>
        <v>0</v>
      </c>
      <c r="K10" s="74">
        <f t="shared" si="5"/>
        <v>0</v>
      </c>
    </row>
    <row r="11" spans="1:17" x14ac:dyDescent="0.3">
      <c r="A11" s="232">
        <f t="shared" si="3"/>
        <v>46087</v>
      </c>
      <c r="B11" s="327">
        <v>0</v>
      </c>
      <c r="C11" s="73"/>
      <c r="D11" s="73"/>
      <c r="E11" s="73">
        <f t="shared" si="0"/>
        <v>0</v>
      </c>
      <c r="G11" s="256">
        <v>1.5E-3</v>
      </c>
      <c r="H11" s="253">
        <f t="shared" si="4"/>
        <v>0.11459999999999999</v>
      </c>
      <c r="I11" s="254">
        <f t="shared" si="1"/>
        <v>0.11609999999999999</v>
      </c>
      <c r="J11" s="255">
        <f t="shared" si="2"/>
        <v>0</v>
      </c>
      <c r="K11" s="74">
        <f t="shared" si="5"/>
        <v>0</v>
      </c>
    </row>
    <row r="12" spans="1:17" x14ac:dyDescent="0.3">
      <c r="A12" s="232">
        <f t="shared" si="3"/>
        <v>46088</v>
      </c>
      <c r="B12" s="327">
        <v>0</v>
      </c>
      <c r="C12" s="73"/>
      <c r="D12" s="73"/>
      <c r="E12" s="73">
        <f t="shared" si="0"/>
        <v>0</v>
      </c>
      <c r="G12" s="256">
        <v>1.5E-3</v>
      </c>
      <c r="H12" s="253">
        <f t="shared" si="4"/>
        <v>0.11459999999999999</v>
      </c>
      <c r="I12" s="254">
        <f t="shared" si="1"/>
        <v>0.11609999999999999</v>
      </c>
      <c r="J12" s="255">
        <f t="shared" si="2"/>
        <v>0</v>
      </c>
      <c r="K12" s="74">
        <f t="shared" si="5"/>
        <v>0</v>
      </c>
    </row>
    <row r="13" spans="1:17" x14ac:dyDescent="0.3">
      <c r="A13" s="232">
        <f t="shared" si="3"/>
        <v>46089</v>
      </c>
      <c r="B13" s="327">
        <v>0</v>
      </c>
      <c r="C13" s="73"/>
      <c r="D13" s="73"/>
      <c r="E13" s="73">
        <f t="shared" si="0"/>
        <v>0</v>
      </c>
      <c r="G13" s="256">
        <v>1.5E-3</v>
      </c>
      <c r="H13" s="253">
        <f t="shared" si="4"/>
        <v>0.11459999999999999</v>
      </c>
      <c r="I13" s="254">
        <f t="shared" si="1"/>
        <v>0.11609999999999999</v>
      </c>
      <c r="J13" s="255">
        <f t="shared" si="2"/>
        <v>0</v>
      </c>
      <c r="K13" s="74">
        <f t="shared" si="5"/>
        <v>0</v>
      </c>
    </row>
    <row r="14" spans="1:17" x14ac:dyDescent="0.3">
      <c r="A14" s="232">
        <f t="shared" si="3"/>
        <v>46090</v>
      </c>
      <c r="B14" s="327">
        <v>0</v>
      </c>
      <c r="C14" s="73"/>
      <c r="D14" s="73"/>
      <c r="E14" s="73">
        <f t="shared" si="0"/>
        <v>0</v>
      </c>
      <c r="G14" s="256">
        <v>1.5E-3</v>
      </c>
      <c r="H14" s="253">
        <f t="shared" si="4"/>
        <v>0.11459999999999999</v>
      </c>
      <c r="I14" s="254">
        <f t="shared" si="1"/>
        <v>0.11609999999999999</v>
      </c>
      <c r="J14" s="255">
        <f t="shared" si="2"/>
        <v>0</v>
      </c>
      <c r="K14" s="74">
        <f t="shared" si="5"/>
        <v>0</v>
      </c>
    </row>
    <row r="15" spans="1:17" x14ac:dyDescent="0.3">
      <c r="A15" s="232">
        <f t="shared" si="3"/>
        <v>46091</v>
      </c>
      <c r="B15" s="327">
        <v>0</v>
      </c>
      <c r="C15" s="257"/>
      <c r="D15" s="73"/>
      <c r="E15" s="73">
        <f t="shared" si="0"/>
        <v>0</v>
      </c>
      <c r="G15" s="256">
        <v>1.5E-3</v>
      </c>
      <c r="H15" s="253">
        <f t="shared" si="4"/>
        <v>0.11459999999999999</v>
      </c>
      <c r="I15" s="254">
        <f t="shared" si="1"/>
        <v>0.11609999999999999</v>
      </c>
      <c r="J15" s="255">
        <f t="shared" si="2"/>
        <v>0</v>
      </c>
      <c r="K15" s="74">
        <f t="shared" si="5"/>
        <v>0</v>
      </c>
    </row>
    <row r="16" spans="1:17" s="359" customFormat="1" x14ac:dyDescent="0.3">
      <c r="A16" s="357">
        <f t="shared" si="3"/>
        <v>46092</v>
      </c>
      <c r="B16" s="327">
        <v>0</v>
      </c>
      <c r="C16" s="358"/>
      <c r="D16" s="313"/>
      <c r="E16" s="73">
        <f t="shared" si="0"/>
        <v>0</v>
      </c>
      <c r="G16" s="256">
        <v>1.5E-3</v>
      </c>
      <c r="H16" s="253">
        <f t="shared" si="4"/>
        <v>0.11459999999999999</v>
      </c>
      <c r="I16" s="254">
        <f t="shared" si="1"/>
        <v>0.11609999999999999</v>
      </c>
      <c r="J16" s="255">
        <f t="shared" si="2"/>
        <v>0</v>
      </c>
      <c r="K16" s="363">
        <f t="shared" si="5"/>
        <v>0</v>
      </c>
    </row>
    <row r="17" spans="1:14" s="359" customFormat="1" x14ac:dyDescent="0.3">
      <c r="A17" s="357">
        <f t="shared" si="3"/>
        <v>46093</v>
      </c>
      <c r="B17" s="327">
        <v>0</v>
      </c>
      <c r="C17" s="358"/>
      <c r="D17" s="313"/>
      <c r="E17" s="73">
        <f t="shared" si="0"/>
        <v>0</v>
      </c>
      <c r="G17" s="256">
        <v>1.5E-3</v>
      </c>
      <c r="H17" s="253">
        <f t="shared" si="4"/>
        <v>0.11459999999999999</v>
      </c>
      <c r="I17" s="254">
        <f t="shared" si="1"/>
        <v>0.11609999999999999</v>
      </c>
      <c r="J17" s="255">
        <f t="shared" si="2"/>
        <v>0</v>
      </c>
      <c r="K17" s="363">
        <f t="shared" si="5"/>
        <v>0</v>
      </c>
    </row>
    <row r="18" spans="1:14" s="359" customFormat="1" x14ac:dyDescent="0.3">
      <c r="A18" s="357">
        <f t="shared" si="3"/>
        <v>46094</v>
      </c>
      <c r="B18" s="327">
        <v>0</v>
      </c>
      <c r="C18" s="358"/>
      <c r="D18" s="313"/>
      <c r="E18" s="73">
        <f t="shared" si="0"/>
        <v>0</v>
      </c>
      <c r="G18" s="256">
        <v>1.5E-3</v>
      </c>
      <c r="H18" s="253">
        <f t="shared" si="4"/>
        <v>0.11459999999999999</v>
      </c>
      <c r="I18" s="254">
        <f t="shared" si="1"/>
        <v>0.11609999999999999</v>
      </c>
      <c r="J18" s="255">
        <f t="shared" si="2"/>
        <v>0</v>
      </c>
      <c r="K18" s="363">
        <f t="shared" si="5"/>
        <v>0</v>
      </c>
    </row>
    <row r="19" spans="1:14" x14ac:dyDescent="0.3">
      <c r="A19" s="232">
        <f t="shared" si="3"/>
        <v>46095</v>
      </c>
      <c r="B19" s="327">
        <v>0</v>
      </c>
      <c r="C19" s="257"/>
      <c r="D19" s="73"/>
      <c r="E19" s="73">
        <f t="shared" si="0"/>
        <v>0</v>
      </c>
      <c r="G19" s="256">
        <v>1.5E-3</v>
      </c>
      <c r="H19" s="253">
        <f t="shared" si="4"/>
        <v>0.11459999999999999</v>
      </c>
      <c r="I19" s="254">
        <f t="shared" si="1"/>
        <v>0.11609999999999999</v>
      </c>
      <c r="J19" s="255">
        <f t="shared" si="2"/>
        <v>0</v>
      </c>
      <c r="K19" s="74">
        <f t="shared" si="5"/>
        <v>0</v>
      </c>
    </row>
    <row r="20" spans="1:14" x14ac:dyDescent="0.3">
      <c r="A20" s="232">
        <f t="shared" si="3"/>
        <v>46096</v>
      </c>
      <c r="B20" s="327">
        <v>0</v>
      </c>
      <c r="C20" s="257"/>
      <c r="D20" s="73"/>
      <c r="E20" s="73">
        <f t="shared" si="0"/>
        <v>0</v>
      </c>
      <c r="G20" s="256">
        <v>1.5E-3</v>
      </c>
      <c r="H20" s="253">
        <f t="shared" si="4"/>
        <v>0.11459999999999999</v>
      </c>
      <c r="I20" s="254">
        <f t="shared" si="1"/>
        <v>0.11609999999999999</v>
      </c>
      <c r="J20" s="255">
        <f t="shared" si="2"/>
        <v>0</v>
      </c>
      <c r="K20" s="74">
        <f t="shared" si="5"/>
        <v>0</v>
      </c>
    </row>
    <row r="21" spans="1:14" x14ac:dyDescent="0.3">
      <c r="A21" s="232">
        <f t="shared" si="3"/>
        <v>46097</v>
      </c>
      <c r="B21" s="327">
        <v>0</v>
      </c>
      <c r="C21" s="257"/>
      <c r="D21" s="73"/>
      <c r="E21" s="73">
        <f t="shared" si="0"/>
        <v>0</v>
      </c>
      <c r="G21" s="256">
        <v>1.5E-3</v>
      </c>
      <c r="H21" s="253">
        <f t="shared" si="4"/>
        <v>0.11459999999999999</v>
      </c>
      <c r="I21" s="254">
        <f t="shared" si="1"/>
        <v>0.11609999999999999</v>
      </c>
      <c r="J21" s="255">
        <f t="shared" si="2"/>
        <v>0</v>
      </c>
      <c r="K21" s="74">
        <f t="shared" si="5"/>
        <v>0</v>
      </c>
    </row>
    <row r="22" spans="1:14" x14ac:dyDescent="0.3">
      <c r="A22" s="232">
        <f t="shared" si="3"/>
        <v>46098</v>
      </c>
      <c r="B22" s="327">
        <v>0</v>
      </c>
      <c r="C22" s="73"/>
      <c r="D22" s="73"/>
      <c r="E22" s="73">
        <f t="shared" si="0"/>
        <v>0</v>
      </c>
      <c r="G22" s="256">
        <v>1.5E-3</v>
      </c>
      <c r="H22" s="253">
        <f t="shared" si="4"/>
        <v>0.11459999999999999</v>
      </c>
      <c r="I22" s="254">
        <f t="shared" si="1"/>
        <v>0.11609999999999999</v>
      </c>
      <c r="J22" s="255">
        <f t="shared" si="2"/>
        <v>0</v>
      </c>
      <c r="K22" s="74">
        <f t="shared" si="5"/>
        <v>0</v>
      </c>
    </row>
    <row r="23" spans="1:14" x14ac:dyDescent="0.3">
      <c r="A23" s="232">
        <f t="shared" si="3"/>
        <v>46099</v>
      </c>
      <c r="B23" s="327">
        <v>0</v>
      </c>
      <c r="C23" s="90"/>
      <c r="D23" s="73"/>
      <c r="E23" s="73">
        <f t="shared" si="0"/>
        <v>0</v>
      </c>
      <c r="G23" s="256">
        <v>1.5E-3</v>
      </c>
      <c r="H23" s="253">
        <f t="shared" si="4"/>
        <v>0.11459999999999999</v>
      </c>
      <c r="I23" s="254">
        <f t="shared" si="1"/>
        <v>0.11609999999999999</v>
      </c>
      <c r="J23" s="255">
        <f t="shared" si="2"/>
        <v>0</v>
      </c>
      <c r="K23" s="74">
        <f t="shared" si="5"/>
        <v>0</v>
      </c>
    </row>
    <row r="24" spans="1:14" x14ac:dyDescent="0.3">
      <c r="A24" s="232">
        <f t="shared" si="3"/>
        <v>46100</v>
      </c>
      <c r="B24" s="327">
        <v>0</v>
      </c>
      <c r="C24" s="73"/>
      <c r="D24" s="73"/>
      <c r="E24" s="73">
        <f t="shared" si="0"/>
        <v>0</v>
      </c>
      <c r="G24" s="256">
        <v>1.5E-3</v>
      </c>
      <c r="H24" s="253">
        <f t="shared" si="4"/>
        <v>0.11459999999999999</v>
      </c>
      <c r="I24" s="254">
        <f t="shared" si="1"/>
        <v>0.11609999999999999</v>
      </c>
      <c r="J24" s="255">
        <f t="shared" si="2"/>
        <v>0</v>
      </c>
      <c r="K24" s="74">
        <f t="shared" si="5"/>
        <v>0</v>
      </c>
    </row>
    <row r="25" spans="1:14" x14ac:dyDescent="0.3">
      <c r="A25" s="232">
        <f t="shared" si="3"/>
        <v>46101</v>
      </c>
      <c r="B25" s="327">
        <v>0</v>
      </c>
      <c r="C25" s="73"/>
      <c r="D25" s="73"/>
      <c r="E25" s="73">
        <f t="shared" si="0"/>
        <v>0</v>
      </c>
      <c r="G25" s="256">
        <v>1.5E-3</v>
      </c>
      <c r="H25" s="253">
        <f t="shared" si="4"/>
        <v>0.11459999999999999</v>
      </c>
      <c r="I25" s="254">
        <f t="shared" si="1"/>
        <v>0.11609999999999999</v>
      </c>
      <c r="J25" s="255">
        <f t="shared" si="2"/>
        <v>0</v>
      </c>
      <c r="K25" s="74">
        <f t="shared" si="5"/>
        <v>0</v>
      </c>
      <c r="N25" s="1"/>
    </row>
    <row r="26" spans="1:14" x14ac:dyDescent="0.3">
      <c r="A26" s="232">
        <f t="shared" si="3"/>
        <v>46102</v>
      </c>
      <c r="B26" s="327">
        <v>0</v>
      </c>
      <c r="C26" s="73"/>
      <c r="D26" s="73"/>
      <c r="E26" s="73">
        <f t="shared" si="0"/>
        <v>0</v>
      </c>
      <c r="G26" s="256">
        <v>1.5E-3</v>
      </c>
      <c r="H26" s="253">
        <f t="shared" si="4"/>
        <v>0.11459999999999999</v>
      </c>
      <c r="I26" s="254">
        <f t="shared" si="1"/>
        <v>0.11609999999999999</v>
      </c>
      <c r="J26" s="255">
        <f t="shared" si="2"/>
        <v>0</v>
      </c>
      <c r="K26" s="74">
        <f t="shared" si="5"/>
        <v>0</v>
      </c>
    </row>
    <row r="27" spans="1:14" x14ac:dyDescent="0.3">
      <c r="A27" s="232">
        <f t="shared" si="3"/>
        <v>46103</v>
      </c>
      <c r="B27" s="327">
        <v>0</v>
      </c>
      <c r="C27" s="73"/>
      <c r="D27" s="73"/>
      <c r="E27" s="73">
        <f t="shared" si="0"/>
        <v>0</v>
      </c>
      <c r="G27" s="256">
        <v>1.5E-3</v>
      </c>
      <c r="H27" s="253">
        <f t="shared" si="4"/>
        <v>0.11459999999999999</v>
      </c>
      <c r="I27" s="254">
        <f t="shared" si="1"/>
        <v>0.11609999999999999</v>
      </c>
      <c r="J27" s="255">
        <f t="shared" si="2"/>
        <v>0</v>
      </c>
      <c r="K27" s="74">
        <f t="shared" si="5"/>
        <v>0</v>
      </c>
    </row>
    <row r="28" spans="1:14" x14ac:dyDescent="0.3">
      <c r="A28" s="232">
        <f t="shared" si="3"/>
        <v>46104</v>
      </c>
      <c r="B28" s="327">
        <v>0</v>
      </c>
      <c r="C28" s="73"/>
      <c r="D28" s="73"/>
      <c r="E28" s="73">
        <f t="shared" si="0"/>
        <v>0</v>
      </c>
      <c r="G28" s="256">
        <v>1.5E-3</v>
      </c>
      <c r="H28" s="253">
        <f t="shared" si="4"/>
        <v>0.11459999999999999</v>
      </c>
      <c r="I28" s="254">
        <f t="shared" si="1"/>
        <v>0.11609999999999999</v>
      </c>
      <c r="J28" s="255">
        <f t="shared" si="2"/>
        <v>0</v>
      </c>
      <c r="K28" s="74">
        <f t="shared" si="5"/>
        <v>0</v>
      </c>
      <c r="N28" s="312"/>
    </row>
    <row r="29" spans="1:14" x14ac:dyDescent="0.3">
      <c r="A29" s="232">
        <f t="shared" si="3"/>
        <v>46105</v>
      </c>
      <c r="B29" s="327">
        <v>0</v>
      </c>
      <c r="C29" s="73"/>
      <c r="D29" s="73"/>
      <c r="E29" s="73">
        <f t="shared" si="0"/>
        <v>0</v>
      </c>
      <c r="G29" s="256">
        <v>1.5E-3</v>
      </c>
      <c r="H29" s="253">
        <f t="shared" si="4"/>
        <v>0.11459999999999999</v>
      </c>
      <c r="I29" s="254">
        <f t="shared" si="1"/>
        <v>0.11609999999999999</v>
      </c>
      <c r="J29" s="255">
        <f t="shared" si="2"/>
        <v>0</v>
      </c>
      <c r="K29" s="74">
        <f t="shared" si="5"/>
        <v>0</v>
      </c>
      <c r="N29" s="356"/>
    </row>
    <row r="30" spans="1:14" x14ac:dyDescent="0.3">
      <c r="A30" s="232">
        <f t="shared" si="3"/>
        <v>46106</v>
      </c>
      <c r="B30" s="327">
        <v>0</v>
      </c>
      <c r="C30" s="73"/>
      <c r="D30" s="73"/>
      <c r="E30" s="73">
        <f t="shared" si="0"/>
        <v>0</v>
      </c>
      <c r="G30" s="256">
        <v>1.5E-3</v>
      </c>
      <c r="H30" s="253">
        <f t="shared" si="4"/>
        <v>0.11459999999999999</v>
      </c>
      <c r="I30" s="254">
        <f t="shared" si="1"/>
        <v>0.11609999999999999</v>
      </c>
      <c r="J30" s="255">
        <f t="shared" si="2"/>
        <v>0</v>
      </c>
      <c r="K30" s="74">
        <f t="shared" si="5"/>
        <v>0</v>
      </c>
      <c r="N30" s="312"/>
    </row>
    <row r="31" spans="1:14" x14ac:dyDescent="0.3">
      <c r="A31" s="232">
        <f t="shared" si="3"/>
        <v>46107</v>
      </c>
      <c r="B31" s="327">
        <v>100000000</v>
      </c>
      <c r="C31" s="73"/>
      <c r="D31" s="73"/>
      <c r="E31" s="73">
        <f t="shared" si="0"/>
        <v>100000000</v>
      </c>
      <c r="G31" s="256">
        <v>1.5E-3</v>
      </c>
      <c r="H31" s="253">
        <f t="shared" si="4"/>
        <v>0.11459999999999999</v>
      </c>
      <c r="I31" s="254">
        <f t="shared" si="1"/>
        <v>0.11609999999999999</v>
      </c>
      <c r="J31" s="255">
        <f t="shared" si="2"/>
        <v>31808.219178082192</v>
      </c>
      <c r="K31" s="74">
        <f t="shared" si="5"/>
        <v>100000000</v>
      </c>
    </row>
    <row r="32" spans="1:14" x14ac:dyDescent="0.3">
      <c r="A32" s="232">
        <f t="shared" si="3"/>
        <v>46108</v>
      </c>
      <c r="B32" s="327">
        <v>100000000</v>
      </c>
      <c r="C32" s="73"/>
      <c r="D32" s="73"/>
      <c r="E32" s="73">
        <f t="shared" si="0"/>
        <v>100000000</v>
      </c>
      <c r="G32" s="256">
        <v>1.5E-3</v>
      </c>
      <c r="H32" s="253">
        <f t="shared" si="4"/>
        <v>0.11459999999999999</v>
      </c>
      <c r="I32" s="254">
        <f t="shared" si="1"/>
        <v>0.11609999999999999</v>
      </c>
      <c r="J32" s="255">
        <f t="shared" si="2"/>
        <v>31808.219178082192</v>
      </c>
      <c r="K32" s="74">
        <f t="shared" si="5"/>
        <v>0</v>
      </c>
    </row>
    <row r="33" spans="1:14" x14ac:dyDescent="0.3">
      <c r="A33" s="232">
        <f t="shared" si="3"/>
        <v>46109</v>
      </c>
      <c r="B33" s="327">
        <v>100000000</v>
      </c>
      <c r="C33" s="73"/>
      <c r="D33" s="73"/>
      <c r="E33" s="73">
        <f>SUM(B33:D33)</f>
        <v>100000000</v>
      </c>
      <c r="G33" s="256">
        <v>1.5E-3</v>
      </c>
      <c r="H33" s="253">
        <f t="shared" si="4"/>
        <v>0.11459999999999999</v>
      </c>
      <c r="I33" s="254">
        <f t="shared" si="1"/>
        <v>0.11609999999999999</v>
      </c>
      <c r="J33" s="255">
        <f t="shared" si="2"/>
        <v>31808.219178082192</v>
      </c>
      <c r="K33" s="74">
        <f>+E33-E32</f>
        <v>0</v>
      </c>
    </row>
    <row r="34" spans="1:14" x14ac:dyDescent="0.3">
      <c r="A34" s="232">
        <f t="shared" si="3"/>
        <v>46110</v>
      </c>
      <c r="B34" s="327">
        <v>100000000</v>
      </c>
      <c r="C34" s="73"/>
      <c r="D34" s="73"/>
      <c r="E34" s="73">
        <f>SUM(B34:D34)</f>
        <v>100000000</v>
      </c>
      <c r="G34" s="256">
        <v>1.5E-3</v>
      </c>
      <c r="H34" s="253">
        <f t="shared" si="4"/>
        <v>0.11459999999999999</v>
      </c>
      <c r="I34" s="254">
        <f>+H34+G34</f>
        <v>0.11609999999999999</v>
      </c>
      <c r="J34" s="255">
        <f>IF(E34&lt;0,0,E34*I34/365)</f>
        <v>31808.219178082192</v>
      </c>
      <c r="K34" s="74">
        <f>+E34-E33</f>
        <v>0</v>
      </c>
    </row>
    <row r="35" spans="1:14" x14ac:dyDescent="0.3">
      <c r="A35" s="232">
        <f t="shared" si="3"/>
        <v>46111</v>
      </c>
      <c r="B35" s="327">
        <v>100000000</v>
      </c>
      <c r="C35" s="73"/>
      <c r="D35" s="73"/>
      <c r="E35" s="73">
        <f>SUM(B35:D35)</f>
        <v>100000000</v>
      </c>
      <c r="G35" s="256">
        <v>1.5E-3</v>
      </c>
      <c r="H35" s="253">
        <f t="shared" si="4"/>
        <v>0.11459999999999999</v>
      </c>
      <c r="I35" s="254">
        <f>+H35+G35</f>
        <v>0.11609999999999999</v>
      </c>
      <c r="J35" s="255">
        <f>IF(E35&lt;0,0,E35*I35/365)</f>
        <v>31808.219178082192</v>
      </c>
      <c r="K35" s="74">
        <f>+E35-E34</f>
        <v>0</v>
      </c>
    </row>
    <row r="36" spans="1:14" x14ac:dyDescent="0.3">
      <c r="A36" s="232">
        <f t="shared" si="3"/>
        <v>46112</v>
      </c>
      <c r="B36" s="327">
        <v>180000000</v>
      </c>
      <c r="C36" s="73"/>
      <c r="D36" s="4">
        <v>0</v>
      </c>
      <c r="E36" s="73">
        <f>SUM(B36:D36)</f>
        <v>180000000</v>
      </c>
      <c r="G36" s="256">
        <v>1.5E-3</v>
      </c>
      <c r="H36" s="253">
        <f t="shared" si="4"/>
        <v>0.11459999999999999</v>
      </c>
      <c r="I36" s="254">
        <f>+H36+G36</f>
        <v>0.11609999999999999</v>
      </c>
      <c r="J36" s="255">
        <f>IF(E36&lt;0,0,E36*I36/365)</f>
        <v>57254.794520547948</v>
      </c>
      <c r="K36" s="74">
        <f>+E36-E35</f>
        <v>80000000</v>
      </c>
      <c r="N36" s="1"/>
    </row>
    <row r="37" spans="1:14" x14ac:dyDescent="0.3">
      <c r="G37" s="814" t="s">
        <v>18</v>
      </c>
      <c r="H37" s="815"/>
      <c r="I37" s="816"/>
      <c r="J37" s="260">
        <f>SUM(J6:J36)</f>
        <v>216295.89041095891</v>
      </c>
    </row>
    <row r="38" spans="1:14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4" x14ac:dyDescent="0.3">
      <c r="G39" s="783" t="s">
        <v>24</v>
      </c>
      <c r="H39" s="783"/>
      <c r="I39" s="783"/>
    </row>
    <row r="40" spans="1:14" x14ac:dyDescent="0.3">
      <c r="G40" s="784"/>
      <c r="H40" s="784"/>
      <c r="I40" s="784"/>
      <c r="J40" s="261" t="s">
        <v>0</v>
      </c>
    </row>
    <row r="41" spans="1:14" x14ac:dyDescent="0.3">
      <c r="G41" s="785" t="s">
        <v>19</v>
      </c>
      <c r="H41" s="785"/>
      <c r="I41" s="785"/>
      <c r="J41" s="265">
        <v>0</v>
      </c>
      <c r="K41" s="189"/>
    </row>
    <row r="42" spans="1:14" ht="14.4" x14ac:dyDescent="0.3">
      <c r="G42" s="803" t="s">
        <v>40</v>
      </c>
      <c r="H42" s="803"/>
      <c r="I42" s="813"/>
      <c r="J42" s="666">
        <v>0</v>
      </c>
      <c r="K42" s="189"/>
      <c r="N42" s="666"/>
    </row>
    <row r="43" spans="1:14" x14ac:dyDescent="0.3">
      <c r="B43" s="2"/>
      <c r="D43" s="2"/>
      <c r="G43" s="787" t="str">
        <f>IF(J43&lt;0,"Excess Provision to be Reversed","Additional Provision Required")</f>
        <v>Additional Provision Required</v>
      </c>
      <c r="H43" s="787"/>
      <c r="I43" s="787"/>
      <c r="J43" s="263">
        <f>IF(J42=0,0,J42-J41)</f>
        <v>0</v>
      </c>
    </row>
    <row r="44" spans="1:14" x14ac:dyDescent="0.3">
      <c r="G44" s="784"/>
      <c r="H44" s="784"/>
      <c r="I44" s="784"/>
      <c r="J44" s="784"/>
    </row>
    <row r="45" spans="1:14" ht="16.2" customHeight="1" thickBot="1" x14ac:dyDescent="0.35">
      <c r="G45" s="780" t="s">
        <v>145</v>
      </c>
      <c r="H45" s="780"/>
      <c r="I45" s="780"/>
      <c r="J45" s="264">
        <f>J37+J43</f>
        <v>216295.89041095891</v>
      </c>
    </row>
    <row r="46" spans="1:14" x14ac:dyDescent="0.3">
      <c r="G46" s="781"/>
      <c r="H46" s="781"/>
      <c r="I46" s="781"/>
      <c r="J46" s="781"/>
    </row>
    <row r="47" spans="1:14" x14ac:dyDescent="0.3">
      <c r="G47" s="782" t="s">
        <v>33</v>
      </c>
      <c r="H47" s="782"/>
      <c r="I47" s="782"/>
      <c r="J47" s="265">
        <f>J41+J45-J42</f>
        <v>216295.89041095891</v>
      </c>
    </row>
    <row r="49" spans="10:10" x14ac:dyDescent="0.3">
      <c r="J49" s="312"/>
    </row>
  </sheetData>
  <mergeCells count="16">
    <mergeCell ref="G45:I45"/>
    <mergeCell ref="G46:J46"/>
    <mergeCell ref="G47:I47"/>
    <mergeCell ref="G39:I39"/>
    <mergeCell ref="G40:I40"/>
    <mergeCell ref="G41:I41"/>
    <mergeCell ref="G42:I42"/>
    <mergeCell ref="G43:I43"/>
    <mergeCell ref="G44:J44"/>
    <mergeCell ref="A1:J1"/>
    <mergeCell ref="A2:I2"/>
    <mergeCell ref="A3:J3"/>
    <mergeCell ref="A4:A5"/>
    <mergeCell ref="H4:H5"/>
    <mergeCell ref="A38:J38"/>
    <mergeCell ref="G37:I37"/>
  </mergeCells>
  <printOptions horizontalCentered="1" verticalCentered="1"/>
  <pageMargins left="0.75" right="0.75" top="0.5" bottom="0.5" header="0.5" footer="0.5"/>
  <pageSetup scale="5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D9C4-A9BC-46C5-B057-7C145D44F291}">
  <sheetPr filterMode="1">
    <pageSetUpPr fitToPage="1"/>
  </sheetPr>
  <dimension ref="A1:S27"/>
  <sheetViews>
    <sheetView view="pageBreakPreview" zoomScaleNormal="77" zoomScaleSheetLayoutView="100" workbookViewId="0">
      <selection activeCell="H13" sqref="H13"/>
    </sheetView>
  </sheetViews>
  <sheetFormatPr defaultRowHeight="15.6" x14ac:dyDescent="0.3"/>
  <cols>
    <col min="1" max="1" width="8.26953125" style="574" customWidth="1"/>
    <col min="2" max="2" width="4.81640625" style="575" customWidth="1"/>
    <col min="3" max="3" width="10.54296875" style="575" customWidth="1"/>
    <col min="4" max="4" width="10.6328125" style="575" customWidth="1"/>
    <col min="5" max="5" width="12.54296875" style="575" customWidth="1"/>
    <col min="6" max="6" width="13.36328125" style="575" bestFit="1" customWidth="1"/>
    <col min="7" max="7" width="14.1796875" style="575" customWidth="1"/>
    <col min="8" max="8" width="17.1796875" style="575" bestFit="1" customWidth="1"/>
    <col min="9" max="9" width="8.81640625" style="575" bestFit="1" customWidth="1"/>
    <col min="10" max="10" width="10.6328125" style="575" customWidth="1"/>
    <col min="11" max="11" width="6.81640625" style="575" customWidth="1"/>
    <col min="12" max="12" width="13.54296875" style="575" bestFit="1" customWidth="1"/>
    <col min="13" max="13" width="15.36328125" style="575" bestFit="1" customWidth="1"/>
    <col min="14" max="14" width="13.36328125" style="575" customWidth="1"/>
    <col min="15" max="15" width="11.36328125" style="575" customWidth="1"/>
    <col min="16" max="16" width="14.08984375" style="575" bestFit="1" customWidth="1"/>
    <col min="17" max="17" width="21.7265625" style="575" customWidth="1"/>
    <col min="18" max="18" width="13.1796875" style="578" customWidth="1"/>
    <col min="19" max="19" width="8.7265625" style="575"/>
    <col min="20" max="20" width="12.36328125" style="575" bestFit="1" customWidth="1"/>
    <col min="21" max="16384" width="8.7265625" style="575"/>
  </cols>
  <sheetData>
    <row r="1" spans="1:19" x14ac:dyDescent="0.3">
      <c r="C1" s="576"/>
      <c r="D1" s="576"/>
      <c r="E1" s="576"/>
      <c r="K1" s="577"/>
    </row>
    <row r="2" spans="1:19" ht="9" customHeight="1" x14ac:dyDescent="0.3">
      <c r="K2" s="577"/>
      <c r="L2" s="579"/>
      <c r="M2" s="580"/>
      <c r="N2" s="580"/>
      <c r="O2" s="580"/>
      <c r="P2" s="580"/>
    </row>
    <row r="3" spans="1:19" ht="21" customHeight="1" thickBot="1" x14ac:dyDescent="0.35">
      <c r="A3" s="581"/>
      <c r="B3" s="582" t="s">
        <v>253</v>
      </c>
      <c r="C3" s="583"/>
      <c r="D3" s="583"/>
      <c r="E3" s="583"/>
      <c r="F3" s="583"/>
      <c r="G3" s="584"/>
      <c r="I3" s="585"/>
      <c r="J3" s="586" t="s">
        <v>254</v>
      </c>
      <c r="K3" s="587"/>
      <c r="L3" s="588" t="s">
        <v>255</v>
      </c>
      <c r="M3" s="589"/>
      <c r="N3" s="589"/>
      <c r="O3" s="589"/>
      <c r="P3" s="589"/>
      <c r="Q3" s="589"/>
    </row>
    <row r="4" spans="1:19" s="599" customFormat="1" ht="16.5" customHeight="1" thickBot="1" x14ac:dyDescent="0.35">
      <c r="A4" s="590"/>
      <c r="B4" s="591"/>
      <c r="C4" s="591"/>
      <c r="D4" s="591"/>
      <c r="E4" s="591"/>
      <c r="F4" s="591"/>
      <c r="G4" s="591"/>
      <c r="H4" s="592" t="s">
        <v>256</v>
      </c>
      <c r="I4" s="593">
        <f ca="1">TODAY()</f>
        <v>46216</v>
      </c>
      <c r="J4" s="594"/>
      <c r="K4" s="595">
        <v>281.14999999999998</v>
      </c>
      <c r="L4" s="596"/>
      <c r="M4" s="597"/>
      <c r="N4" s="597"/>
      <c r="O4" s="597"/>
      <c r="P4" s="597"/>
      <c r="Q4" s="597"/>
      <c r="R4" s="598"/>
    </row>
    <row r="5" spans="1:19" x14ac:dyDescent="0.3">
      <c r="A5" s="581"/>
      <c r="B5" s="581"/>
      <c r="C5" s="600"/>
      <c r="D5" s="600"/>
      <c r="E5" s="600"/>
      <c r="F5" s="601"/>
      <c r="G5" s="602"/>
      <c r="H5" s="603"/>
      <c r="J5" s="604"/>
      <c r="K5" s="605"/>
      <c r="L5" s="606"/>
      <c r="M5" s="607"/>
      <c r="N5" s="607"/>
      <c r="O5" s="607"/>
      <c r="P5" s="607"/>
      <c r="Q5" s="607"/>
    </row>
    <row r="6" spans="1:19" x14ac:dyDescent="0.3">
      <c r="A6" s="608" t="s">
        <v>257</v>
      </c>
      <c r="B6" s="609"/>
      <c r="C6" s="610" t="s">
        <v>258</v>
      </c>
      <c r="D6" s="610" t="s">
        <v>259</v>
      </c>
      <c r="E6" s="610" t="s">
        <v>260</v>
      </c>
      <c r="F6" s="611" t="s">
        <v>261</v>
      </c>
      <c r="G6" s="612" t="s">
        <v>262</v>
      </c>
      <c r="H6" s="613" t="s">
        <v>263</v>
      </c>
      <c r="I6" s="614" t="s">
        <v>264</v>
      </c>
      <c r="J6" s="613"/>
      <c r="K6" s="613"/>
      <c r="L6" s="613" t="s">
        <v>265</v>
      </c>
      <c r="M6" s="613" t="s">
        <v>266</v>
      </c>
      <c r="N6" s="613" t="s">
        <v>267</v>
      </c>
      <c r="O6" s="613" t="s">
        <v>268</v>
      </c>
      <c r="P6" s="613" t="s">
        <v>269</v>
      </c>
      <c r="Q6" s="613" t="s">
        <v>270</v>
      </c>
    </row>
    <row r="7" spans="1:19" x14ac:dyDescent="0.3">
      <c r="A7" s="615" t="s">
        <v>271</v>
      </c>
      <c r="B7" s="616"/>
      <c r="C7" s="617"/>
      <c r="D7" s="618" t="s">
        <v>272</v>
      </c>
      <c r="E7" s="618" t="s">
        <v>94</v>
      </c>
      <c r="F7" s="611" t="s">
        <v>273</v>
      </c>
      <c r="G7" s="619"/>
      <c r="H7" s="620" t="s">
        <v>274</v>
      </c>
      <c r="I7" s="621"/>
      <c r="J7" s="620"/>
      <c r="K7" s="620"/>
      <c r="L7" s="620" t="s">
        <v>275</v>
      </c>
      <c r="M7" s="620" t="s">
        <v>276</v>
      </c>
      <c r="N7" s="620" t="s">
        <v>277</v>
      </c>
      <c r="O7" s="620" t="s">
        <v>278</v>
      </c>
      <c r="P7" s="620" t="s">
        <v>279</v>
      </c>
      <c r="Q7" s="620" t="s">
        <v>280</v>
      </c>
    </row>
    <row r="8" spans="1:19" s="630" customFormat="1" hidden="1" x14ac:dyDescent="0.3">
      <c r="A8" s="622" t="s">
        <v>281</v>
      </c>
      <c r="B8" s="622"/>
      <c r="C8" s="623">
        <v>45628</v>
      </c>
      <c r="D8" s="622">
        <v>90</v>
      </c>
      <c r="E8" s="623">
        <f>+C8+D8</f>
        <v>45718</v>
      </c>
      <c r="F8" s="624">
        <v>171300.42</v>
      </c>
      <c r="G8" s="625">
        <f>F8*H8</f>
        <v>47698601.949000001</v>
      </c>
      <c r="H8" s="626">
        <v>278.45</v>
      </c>
      <c r="I8" s="622">
        <v>90</v>
      </c>
      <c r="J8" s="627"/>
      <c r="K8" s="627"/>
      <c r="L8" s="628">
        <f>G8*P22/36500</f>
        <v>15564.119156509314</v>
      </c>
      <c r="M8" s="628">
        <f>L8*I8</f>
        <v>1400770.7240858383</v>
      </c>
      <c r="N8" s="628">
        <f>M8-K8</f>
        <v>1400770.7240858383</v>
      </c>
      <c r="O8" s="628">
        <f>H8-R8</f>
        <v>-2.1500000000000341</v>
      </c>
      <c r="P8" s="628">
        <f>O8*F8</f>
        <v>-368295.90300000587</v>
      </c>
      <c r="Q8" s="628">
        <f>N8+P8</f>
        <v>1032474.8210858324</v>
      </c>
      <c r="R8" s="598">
        <v>280.60000000000002</v>
      </c>
      <c r="S8" s="629" t="s">
        <v>282</v>
      </c>
    </row>
    <row r="9" spans="1:19" s="630" customFormat="1" hidden="1" x14ac:dyDescent="0.3">
      <c r="A9" s="622" t="s">
        <v>281</v>
      </c>
      <c r="B9" s="622"/>
      <c r="C9" s="623">
        <v>45657</v>
      </c>
      <c r="D9" s="622">
        <v>90</v>
      </c>
      <c r="E9" s="623">
        <f>+C9+D9</f>
        <v>45747</v>
      </c>
      <c r="F9" s="624">
        <v>499694.83</v>
      </c>
      <c r="G9" s="625">
        <f>F9*H9</f>
        <v>19083345.557700001</v>
      </c>
      <c r="H9" s="626">
        <v>38.19</v>
      </c>
      <c r="I9" s="622">
        <v>90</v>
      </c>
      <c r="J9" s="627"/>
      <c r="K9" s="627"/>
      <c r="L9" s="628">
        <f>G9*P22/36500</f>
        <v>6226.9217970467671</v>
      </c>
      <c r="M9" s="628">
        <f>L9*I9</f>
        <v>560422.96173420909</v>
      </c>
      <c r="N9" s="628">
        <f>M9-K9</f>
        <v>560422.96173420909</v>
      </c>
      <c r="O9" s="628">
        <f>H9-R9</f>
        <v>-0.56000000000000227</v>
      </c>
      <c r="P9" s="628">
        <f>O9*F9</f>
        <v>-279829.10480000114</v>
      </c>
      <c r="Q9" s="628">
        <f>N9+P9</f>
        <v>280593.85693420796</v>
      </c>
      <c r="R9" s="598">
        <v>38.75</v>
      </c>
      <c r="S9" s="629" t="s">
        <v>283</v>
      </c>
    </row>
    <row r="10" spans="1:19" s="630" customFormat="1" hidden="1" x14ac:dyDescent="0.3">
      <c r="A10" s="622" t="s">
        <v>175</v>
      </c>
      <c r="B10" s="622"/>
      <c r="C10" s="623">
        <f>E10-D10</f>
        <v>45757</v>
      </c>
      <c r="D10" s="622">
        <v>90</v>
      </c>
      <c r="E10" s="623">
        <v>45847</v>
      </c>
      <c r="F10" s="628">
        <v>351522</v>
      </c>
      <c r="G10" s="625">
        <f>+F10*H10</f>
        <v>98830410.299999997</v>
      </c>
      <c r="H10" s="626">
        <v>281.14999999999998</v>
      </c>
      <c r="I10" s="622">
        <v>90</v>
      </c>
      <c r="J10" s="627"/>
      <c r="K10" s="627"/>
      <c r="L10" s="628">
        <f>G10*P24/36500</f>
        <v>33331.571254602743</v>
      </c>
      <c r="M10" s="628">
        <f>L10*I10</f>
        <v>2999841.4129142468</v>
      </c>
      <c r="N10" s="628">
        <f>M10-K10</f>
        <v>2999841.4129142468</v>
      </c>
      <c r="O10" s="628">
        <f>H10-R10</f>
        <v>-5.3500000000000227</v>
      </c>
      <c r="P10" s="628">
        <f>O10*F10</f>
        <v>-1880642.7000000081</v>
      </c>
      <c r="Q10" s="628">
        <f>N10+P10</f>
        <v>1119198.7129142387</v>
      </c>
      <c r="R10" s="631">
        <v>286.5</v>
      </c>
      <c r="S10" s="629" t="s">
        <v>284</v>
      </c>
    </row>
    <row r="11" spans="1:19" s="630" customFormat="1" ht="15" hidden="1" customHeight="1" x14ac:dyDescent="0.3">
      <c r="A11" s="622" t="s">
        <v>155</v>
      </c>
      <c r="B11" s="622"/>
      <c r="C11" s="623">
        <f>E11-D11</f>
        <v>45762</v>
      </c>
      <c r="D11" s="622">
        <v>90</v>
      </c>
      <c r="E11" s="623">
        <v>45852</v>
      </c>
      <c r="F11" s="628">
        <v>209393.91</v>
      </c>
      <c r="G11" s="625">
        <f>+F11*H11</f>
        <v>58839688.710000001</v>
      </c>
      <c r="H11" s="626">
        <v>281</v>
      </c>
      <c r="I11" s="622">
        <v>90</v>
      </c>
      <c r="J11" s="627"/>
      <c r="K11" s="627"/>
      <c r="L11" s="628">
        <f>G11*P22/36500</f>
        <v>19199.471028386302</v>
      </c>
      <c r="M11" s="628">
        <f>L11*I11</f>
        <v>1727952.3925547672</v>
      </c>
      <c r="N11" s="628">
        <f>M11-K11</f>
        <v>1727952.3925547672</v>
      </c>
      <c r="O11" s="628">
        <f>H11-R11</f>
        <v>-5.3999999999999773</v>
      </c>
      <c r="P11" s="628">
        <f>O11*F11</f>
        <v>-1130727.1139999952</v>
      </c>
      <c r="Q11" s="628">
        <f>N11+P11</f>
        <v>597225.27855477203</v>
      </c>
      <c r="R11" s="631">
        <v>286.39999999999998</v>
      </c>
      <c r="S11" s="629" t="s">
        <v>284</v>
      </c>
    </row>
    <row r="12" spans="1:19" s="630" customFormat="1" ht="15" customHeight="1" x14ac:dyDescent="0.3">
      <c r="A12" s="622"/>
      <c r="B12" s="622"/>
      <c r="C12" s="623"/>
      <c r="D12" s="622"/>
      <c r="E12" s="623"/>
      <c r="F12" s="628"/>
      <c r="G12" s="625"/>
      <c r="H12" s="626"/>
      <c r="I12" s="622"/>
      <c r="J12" s="627"/>
      <c r="K12" s="627"/>
      <c r="L12" s="628"/>
      <c r="M12" s="628"/>
      <c r="N12" s="628"/>
      <c r="O12" s="628"/>
      <c r="P12" s="628"/>
      <c r="Q12" s="628"/>
      <c r="R12" s="631"/>
      <c r="S12" s="629"/>
    </row>
    <row r="13" spans="1:19" s="630" customFormat="1" ht="28.8" hidden="1" customHeight="1" x14ac:dyDescent="0.3">
      <c r="A13" s="622" t="s">
        <v>175</v>
      </c>
      <c r="B13" s="622"/>
      <c r="C13" s="623">
        <f>E13-D13</f>
        <v>45883</v>
      </c>
      <c r="D13" s="622">
        <v>90</v>
      </c>
      <c r="E13" s="623">
        <v>45973</v>
      </c>
      <c r="F13" s="628">
        <v>17520</v>
      </c>
      <c r="G13" s="625">
        <f>+F13*H13</f>
        <v>4954656</v>
      </c>
      <c r="H13" s="626">
        <v>282.8</v>
      </c>
      <c r="I13" s="622">
        <v>90</v>
      </c>
      <c r="J13" s="627"/>
      <c r="K13" s="627"/>
      <c r="L13" s="628">
        <f>G13*P24/36500</f>
        <v>1671.00864</v>
      </c>
      <c r="M13" s="628">
        <f>L13*I13</f>
        <v>150390.7776</v>
      </c>
      <c r="N13" s="628">
        <f>M13-K13</f>
        <v>150390.7776</v>
      </c>
      <c r="O13" s="628">
        <f>H13-R13</f>
        <v>0.35000000000002274</v>
      </c>
      <c r="P13" s="628">
        <f>O13*F13</f>
        <v>6132.0000000003984</v>
      </c>
      <c r="Q13" s="628">
        <f>N13+P13</f>
        <v>156522.77760000041</v>
      </c>
      <c r="R13" s="631">
        <v>282.45</v>
      </c>
      <c r="S13" s="629" t="s">
        <v>291</v>
      </c>
    </row>
    <row r="14" spans="1:19" x14ac:dyDescent="0.3">
      <c r="A14" s="581"/>
      <c r="B14" s="632"/>
      <c r="C14" s="633" t="s">
        <v>98</v>
      </c>
      <c r="D14" s="633"/>
      <c r="E14" s="633"/>
      <c r="F14" s="634">
        <f>SUBTOTAL(9,F10:F11)</f>
        <v>0</v>
      </c>
      <c r="G14" s="634"/>
      <c r="H14" s="634"/>
      <c r="I14" s="634"/>
      <c r="J14" s="634"/>
      <c r="K14" s="634"/>
      <c r="L14" s="634">
        <f t="shared" ref="L14:Q14" si="0">SUBTOTAL(9,L10:L11)</f>
        <v>0</v>
      </c>
      <c r="M14" s="634">
        <f t="shared" si="0"/>
        <v>0</v>
      </c>
      <c r="N14" s="634">
        <f t="shared" si="0"/>
        <v>0</v>
      </c>
      <c r="O14" s="634">
        <f t="shared" si="0"/>
        <v>0</v>
      </c>
      <c r="P14" s="634">
        <f t="shared" si="0"/>
        <v>0</v>
      </c>
      <c r="Q14" s="634">
        <f t="shared" si="0"/>
        <v>0</v>
      </c>
    </row>
    <row r="15" spans="1:19" x14ac:dyDescent="0.3">
      <c r="F15" s="635">
        <f t="array" ref="F15:F16">F13:F14</f>
        <v>17520</v>
      </c>
      <c r="G15" s="635"/>
    </row>
    <row r="16" spans="1:19" ht="16.2" thickBot="1" x14ac:dyDescent="0.35">
      <c r="F16" s="635">
        <v>0</v>
      </c>
      <c r="G16" s="635"/>
      <c r="K16" s="636"/>
    </row>
    <row r="17" spans="7:16" ht="15" customHeight="1" x14ac:dyDescent="0.3">
      <c r="G17" s="635"/>
      <c r="L17" s="637"/>
      <c r="M17" s="638"/>
      <c r="N17" s="638"/>
      <c r="O17" s="639"/>
      <c r="P17" s="640"/>
    </row>
    <row r="18" spans="7:16" x14ac:dyDescent="0.3">
      <c r="G18" s="641"/>
      <c r="L18" s="642" t="s">
        <v>285</v>
      </c>
      <c r="O18" s="643"/>
      <c r="P18" s="644"/>
    </row>
    <row r="19" spans="7:16" x14ac:dyDescent="0.3">
      <c r="G19" s="635"/>
      <c r="I19" s="645"/>
      <c r="L19" s="646" t="s">
        <v>286</v>
      </c>
      <c r="M19" s="647">
        <v>11.31</v>
      </c>
      <c r="P19" s="648"/>
    </row>
    <row r="20" spans="7:16" x14ac:dyDescent="0.3">
      <c r="G20" s="635"/>
      <c r="L20" s="646" t="s">
        <v>287</v>
      </c>
      <c r="M20" s="647">
        <v>11.15</v>
      </c>
      <c r="N20" s="649"/>
      <c r="O20" s="650"/>
      <c r="P20" s="644"/>
    </row>
    <row r="21" spans="7:16" x14ac:dyDescent="0.3">
      <c r="L21" s="646" t="s">
        <v>288</v>
      </c>
      <c r="M21" s="647">
        <v>11.16</v>
      </c>
      <c r="N21" s="649"/>
      <c r="O21" s="650"/>
      <c r="P21" s="644"/>
    </row>
    <row r="22" spans="7:16" x14ac:dyDescent="0.3">
      <c r="L22" s="651"/>
      <c r="N22" s="575" t="s">
        <v>281</v>
      </c>
      <c r="O22" s="643">
        <v>0.75</v>
      </c>
      <c r="P22" s="644">
        <f>M21+O22</f>
        <v>11.91</v>
      </c>
    </row>
    <row r="23" spans="7:16" x14ac:dyDescent="0.3">
      <c r="L23" s="651"/>
      <c r="N23" s="575" t="s">
        <v>289</v>
      </c>
      <c r="O23" s="643">
        <v>0.5</v>
      </c>
      <c r="P23" s="644">
        <f>+O23+M21</f>
        <v>11.66</v>
      </c>
    </row>
    <row r="24" spans="7:16" x14ac:dyDescent="0.3">
      <c r="L24" s="651"/>
      <c r="N24" s="575" t="s">
        <v>175</v>
      </c>
      <c r="O24" s="643">
        <v>1</v>
      </c>
      <c r="P24" s="644">
        <f>O24+M19</f>
        <v>12.31</v>
      </c>
    </row>
    <row r="25" spans="7:16" ht="16.2" thickBot="1" x14ac:dyDescent="0.35">
      <c r="L25" s="652"/>
      <c r="M25" s="653"/>
      <c r="N25" s="654" t="s">
        <v>45</v>
      </c>
      <c r="O25" s="655">
        <v>1</v>
      </c>
      <c r="P25" s="656">
        <f>M20+O25</f>
        <v>12.15</v>
      </c>
    </row>
    <row r="26" spans="7:16" x14ac:dyDescent="0.3">
      <c r="O26" s="643"/>
      <c r="P26" s="635"/>
    </row>
    <row r="27" spans="7:16" x14ac:dyDescent="0.3">
      <c r="O27" s="643"/>
      <c r="P27" s="635"/>
    </row>
  </sheetData>
  <autoFilter ref="A7:S8" xr:uid="{19285AAF-F2AA-49FD-924F-44CB596B7EEA}">
    <filterColumn colId="18">
      <filters>
        <filter val="Open"/>
      </filters>
    </filterColumn>
    <sortState xmlns:xlrd2="http://schemas.microsoft.com/office/spreadsheetml/2017/richdata2" ref="A8:S7">
      <sortCondition ref="E7"/>
    </sortState>
  </autoFilter>
  <pageMargins left="0" right="0.23622047244094491" top="0.78740157480314965" bottom="0" header="0.51181102362204722" footer="0.51181102362204722"/>
  <pageSetup scale="5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AF14-5DA4-4BF8-8694-FD159AB75BFD}">
  <sheetPr>
    <tabColor rgb="FFFF0000"/>
    <pageSetUpPr fitToPage="1"/>
  </sheetPr>
  <dimension ref="A1:K49"/>
  <sheetViews>
    <sheetView showGridLines="0" topLeftCell="A21" zoomScaleNormal="100" zoomScaleSheetLayoutView="100" workbookViewId="0">
      <selection activeCell="H39" sqref="H39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12" style="123" customWidth="1"/>
    <col min="4" max="4" width="2.36328125" style="2" customWidth="1"/>
    <col min="5" max="5" width="7.90625" style="2" customWidth="1"/>
    <col min="6" max="6" width="8.81640625" style="2" customWidth="1"/>
    <col min="7" max="7" width="6.90625" style="2" customWidth="1"/>
    <col min="8" max="8" width="11.08984375" style="2" customWidth="1"/>
    <col min="9" max="9" width="11.81640625" style="2" bestFit="1" customWidth="1"/>
    <col min="10" max="16384" width="10.6328125" style="2"/>
  </cols>
  <sheetData>
    <row r="1" spans="1:11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</row>
    <row r="2" spans="1:11" ht="18.600000000000001" thickBot="1" x14ac:dyDescent="0.4">
      <c r="A2" s="789" t="s">
        <v>210</v>
      </c>
      <c r="B2" s="789"/>
      <c r="C2" s="789"/>
      <c r="D2" s="789"/>
      <c r="E2" s="789"/>
      <c r="F2" s="789"/>
      <c r="G2" s="789"/>
      <c r="H2" s="58">
        <f>'FINANCIAL COST SUMMARY '!I2</f>
        <v>46204</v>
      </c>
    </row>
    <row r="3" spans="1:11" x14ac:dyDescent="0.3">
      <c r="A3" s="790"/>
      <c r="B3" s="790"/>
      <c r="C3" s="790"/>
      <c r="D3" s="790"/>
      <c r="E3" s="790"/>
      <c r="F3" s="790"/>
      <c r="G3" s="790"/>
      <c r="H3" s="790"/>
      <c r="I3" s="515">
        <v>166666667</v>
      </c>
    </row>
    <row r="4" spans="1:11" ht="15.6" customHeight="1" x14ac:dyDescent="0.3">
      <c r="A4" s="791" t="s">
        <v>4</v>
      </c>
      <c r="B4" s="241" t="s">
        <v>211</v>
      </c>
      <c r="C4" s="241" t="s">
        <v>159</v>
      </c>
      <c r="E4" s="244" t="s">
        <v>160</v>
      </c>
      <c r="F4" s="811" t="s">
        <v>212</v>
      </c>
      <c r="G4" s="245" t="s">
        <v>161</v>
      </c>
      <c r="H4" s="246" t="s">
        <v>162</v>
      </c>
    </row>
    <row r="5" spans="1:11" x14ac:dyDescent="0.3">
      <c r="A5" s="792"/>
      <c r="B5" s="521"/>
      <c r="C5" s="247" t="s">
        <v>163</v>
      </c>
      <c r="E5" s="248" t="s">
        <v>164</v>
      </c>
      <c r="F5" s="812"/>
      <c r="G5" s="249" t="s">
        <v>165</v>
      </c>
      <c r="H5" s="250" t="s">
        <v>166</v>
      </c>
    </row>
    <row r="6" spans="1:11" s="359" customFormat="1" x14ac:dyDescent="0.3">
      <c r="A6" s="514">
        <v>46204</v>
      </c>
      <c r="B6" s="515">
        <f>200000000-11111111-11111111-11111111</f>
        <v>166666667</v>
      </c>
      <c r="C6" s="90">
        <f t="shared" ref="C6:C32" si="0">SUM(B6:B6)</f>
        <v>166666667</v>
      </c>
      <c r="D6" s="64"/>
      <c r="E6" s="516">
        <v>1.4999999999999999E-2</v>
      </c>
      <c r="F6" s="497">
        <v>0.111</v>
      </c>
      <c r="G6" s="517">
        <f>+F6+E6</f>
        <v>0.126</v>
      </c>
      <c r="H6" s="518">
        <f>IF(C6&lt;0,0,C6*G6/365)</f>
        <v>57534.246690410961</v>
      </c>
      <c r="I6" s="499">
        <f>+C6-I3</f>
        <v>0</v>
      </c>
    </row>
    <row r="7" spans="1:11" s="359" customFormat="1" x14ac:dyDescent="0.3">
      <c r="A7" s="514">
        <f>+A6+1</f>
        <v>46205</v>
      </c>
      <c r="B7" s="515">
        <f>200000000-11111111-11111111-11111111</f>
        <v>166666667</v>
      </c>
      <c r="C7" s="90">
        <f t="shared" si="0"/>
        <v>166666667</v>
      </c>
      <c r="D7" s="64"/>
      <c r="E7" s="519">
        <f>+E6</f>
        <v>1.4999999999999999E-2</v>
      </c>
      <c r="F7" s="497">
        <v>0.111</v>
      </c>
      <c r="G7" s="517">
        <f>+F7+E7</f>
        <v>0.126</v>
      </c>
      <c r="H7" s="518">
        <f t="shared" ref="H7:H32" si="1">IF(C7&lt;0,0,C7*G7/365)</f>
        <v>57534.246690410961</v>
      </c>
      <c r="I7" s="363">
        <f>+C7-C6</f>
        <v>0</v>
      </c>
    </row>
    <row r="8" spans="1:11" s="359" customFormat="1" x14ac:dyDescent="0.3">
      <c r="A8" s="514">
        <f t="shared" ref="A8:A36" si="2">+A7+1</f>
        <v>46206</v>
      </c>
      <c r="B8" s="515">
        <f>200000000-11111111-11111111-11111111-11111111</f>
        <v>155555556</v>
      </c>
      <c r="C8" s="90">
        <f t="shared" si="0"/>
        <v>155555556</v>
      </c>
      <c r="D8" s="64"/>
      <c r="E8" s="519">
        <f t="shared" ref="E8:E36" si="3">+E7</f>
        <v>1.4999999999999999E-2</v>
      </c>
      <c r="F8" s="497">
        <v>0.1222</v>
      </c>
      <c r="G8" s="517">
        <f t="shared" ref="G8:G32" si="4">+F8+E8</f>
        <v>0.13719999999999999</v>
      </c>
      <c r="H8" s="518">
        <f t="shared" si="1"/>
        <v>58471.841871780824</v>
      </c>
      <c r="I8" s="363">
        <f t="shared" ref="I8:I32" si="5">+C8-C7</f>
        <v>-11111111</v>
      </c>
      <c r="K8" s="499"/>
    </row>
    <row r="9" spans="1:11" x14ac:dyDescent="0.3">
      <c r="A9" s="324">
        <f t="shared" si="2"/>
        <v>46207</v>
      </c>
      <c r="B9" s="515">
        <f t="shared" ref="B9:B36" si="6">200000000-11111111-11111111-11111111-11111111</f>
        <v>155555556</v>
      </c>
      <c r="C9" s="73">
        <f t="shared" si="0"/>
        <v>155555556</v>
      </c>
      <c r="E9" s="256">
        <f t="shared" si="3"/>
        <v>1.4999999999999999E-2</v>
      </c>
      <c r="F9" s="497">
        <v>0.1222</v>
      </c>
      <c r="G9" s="254">
        <f t="shared" si="4"/>
        <v>0.13719999999999999</v>
      </c>
      <c r="H9" s="255">
        <f t="shared" si="1"/>
        <v>58471.841871780824</v>
      </c>
      <c r="I9" s="74">
        <f t="shared" si="5"/>
        <v>0</v>
      </c>
    </row>
    <row r="10" spans="1:11" x14ac:dyDescent="0.3">
      <c r="A10" s="232">
        <f t="shared" si="2"/>
        <v>46208</v>
      </c>
      <c r="B10" s="515">
        <f t="shared" si="6"/>
        <v>155555556</v>
      </c>
      <c r="C10" s="73">
        <f t="shared" si="0"/>
        <v>155555556</v>
      </c>
      <c r="E10" s="256">
        <f t="shared" si="3"/>
        <v>1.4999999999999999E-2</v>
      </c>
      <c r="F10" s="497">
        <v>0.1222</v>
      </c>
      <c r="G10" s="254">
        <f t="shared" si="4"/>
        <v>0.13719999999999999</v>
      </c>
      <c r="H10" s="255">
        <f t="shared" si="1"/>
        <v>58471.841871780824</v>
      </c>
      <c r="I10" s="74">
        <f t="shared" si="5"/>
        <v>0</v>
      </c>
    </row>
    <row r="11" spans="1:11" x14ac:dyDescent="0.3">
      <c r="A11" s="232">
        <f t="shared" si="2"/>
        <v>46209</v>
      </c>
      <c r="B11" s="515">
        <f t="shared" si="6"/>
        <v>155555556</v>
      </c>
      <c r="C11" s="73">
        <f t="shared" si="0"/>
        <v>155555556</v>
      </c>
      <c r="E11" s="256">
        <f t="shared" si="3"/>
        <v>1.4999999999999999E-2</v>
      </c>
      <c r="F11" s="497">
        <v>0.1222</v>
      </c>
      <c r="G11" s="254">
        <f t="shared" si="4"/>
        <v>0.13719999999999999</v>
      </c>
      <c r="H11" s="255">
        <f t="shared" si="1"/>
        <v>58471.841871780824</v>
      </c>
      <c r="I11" s="74">
        <f t="shared" si="5"/>
        <v>0</v>
      </c>
    </row>
    <row r="12" spans="1:11" x14ac:dyDescent="0.3">
      <c r="A12" s="232">
        <f t="shared" si="2"/>
        <v>46210</v>
      </c>
      <c r="B12" s="515">
        <f t="shared" si="6"/>
        <v>155555556</v>
      </c>
      <c r="C12" s="73">
        <f t="shared" si="0"/>
        <v>155555556</v>
      </c>
      <c r="E12" s="256">
        <f t="shared" si="3"/>
        <v>1.4999999999999999E-2</v>
      </c>
      <c r="F12" s="497">
        <v>0.1222</v>
      </c>
      <c r="G12" s="254">
        <f t="shared" si="4"/>
        <v>0.13719999999999999</v>
      </c>
      <c r="H12" s="255">
        <f t="shared" si="1"/>
        <v>58471.841871780824</v>
      </c>
      <c r="I12" s="74">
        <f t="shared" si="5"/>
        <v>0</v>
      </c>
    </row>
    <row r="13" spans="1:11" x14ac:dyDescent="0.3">
      <c r="A13" s="232">
        <f t="shared" si="2"/>
        <v>46211</v>
      </c>
      <c r="B13" s="515">
        <f t="shared" si="6"/>
        <v>155555556</v>
      </c>
      <c r="C13" s="73">
        <f t="shared" si="0"/>
        <v>155555556</v>
      </c>
      <c r="E13" s="256">
        <f t="shared" si="3"/>
        <v>1.4999999999999999E-2</v>
      </c>
      <c r="F13" s="497">
        <v>0.1222</v>
      </c>
      <c r="G13" s="254">
        <f t="shared" si="4"/>
        <v>0.13719999999999999</v>
      </c>
      <c r="H13" s="255">
        <f t="shared" si="1"/>
        <v>58471.841871780824</v>
      </c>
      <c r="I13" s="74">
        <f t="shared" si="5"/>
        <v>0</v>
      </c>
    </row>
    <row r="14" spans="1:11" x14ac:dyDescent="0.3">
      <c r="A14" s="232">
        <f t="shared" si="2"/>
        <v>46212</v>
      </c>
      <c r="B14" s="515">
        <f t="shared" si="6"/>
        <v>155555556</v>
      </c>
      <c r="C14" s="73">
        <f t="shared" si="0"/>
        <v>155555556</v>
      </c>
      <c r="E14" s="256">
        <f t="shared" si="3"/>
        <v>1.4999999999999999E-2</v>
      </c>
      <c r="F14" s="497">
        <v>0.1222</v>
      </c>
      <c r="G14" s="254">
        <f t="shared" si="4"/>
        <v>0.13719999999999999</v>
      </c>
      <c r="H14" s="255">
        <f t="shared" si="1"/>
        <v>58471.841871780824</v>
      </c>
      <c r="I14" s="74">
        <f t="shared" si="5"/>
        <v>0</v>
      </c>
    </row>
    <row r="15" spans="1:11" x14ac:dyDescent="0.3">
      <c r="A15" s="232">
        <f t="shared" si="2"/>
        <v>46213</v>
      </c>
      <c r="B15" s="515">
        <f t="shared" si="6"/>
        <v>155555556</v>
      </c>
      <c r="C15" s="73">
        <f t="shared" si="0"/>
        <v>155555556</v>
      </c>
      <c r="E15" s="256">
        <f t="shared" si="3"/>
        <v>1.4999999999999999E-2</v>
      </c>
      <c r="F15" s="497">
        <v>0.1222</v>
      </c>
      <c r="G15" s="254">
        <f t="shared" si="4"/>
        <v>0.13719999999999999</v>
      </c>
      <c r="H15" s="255">
        <f t="shared" si="1"/>
        <v>58471.841871780824</v>
      </c>
      <c r="I15" s="74">
        <f t="shared" si="5"/>
        <v>0</v>
      </c>
    </row>
    <row r="16" spans="1:11" s="359" customFormat="1" x14ac:dyDescent="0.3">
      <c r="A16" s="357">
        <f t="shared" si="2"/>
        <v>46214</v>
      </c>
      <c r="B16" s="515">
        <f t="shared" si="6"/>
        <v>155555556</v>
      </c>
      <c r="C16" s="73">
        <f t="shared" si="0"/>
        <v>155555556</v>
      </c>
      <c r="E16" s="360">
        <f t="shared" si="3"/>
        <v>1.4999999999999999E-2</v>
      </c>
      <c r="F16" s="497">
        <v>0.1222</v>
      </c>
      <c r="G16" s="361">
        <f t="shared" si="4"/>
        <v>0.13719999999999999</v>
      </c>
      <c r="H16" s="255">
        <f t="shared" si="1"/>
        <v>58471.841871780824</v>
      </c>
      <c r="I16" s="363">
        <f t="shared" si="5"/>
        <v>0</v>
      </c>
    </row>
    <row r="17" spans="1:9" s="359" customFormat="1" x14ac:dyDescent="0.3">
      <c r="A17" s="357">
        <f t="shared" si="2"/>
        <v>46215</v>
      </c>
      <c r="B17" s="515">
        <f t="shared" si="6"/>
        <v>155555556</v>
      </c>
      <c r="C17" s="73">
        <f t="shared" si="0"/>
        <v>155555556</v>
      </c>
      <c r="E17" s="360">
        <f t="shared" si="3"/>
        <v>1.4999999999999999E-2</v>
      </c>
      <c r="F17" s="497">
        <v>0.1222</v>
      </c>
      <c r="G17" s="361">
        <f t="shared" si="4"/>
        <v>0.13719999999999999</v>
      </c>
      <c r="H17" s="255">
        <f t="shared" si="1"/>
        <v>58471.841871780824</v>
      </c>
      <c r="I17" s="363">
        <f t="shared" si="5"/>
        <v>0</v>
      </c>
    </row>
    <row r="18" spans="1:9" s="359" customFormat="1" x14ac:dyDescent="0.3">
      <c r="A18" s="357">
        <f t="shared" si="2"/>
        <v>46216</v>
      </c>
      <c r="B18" s="515">
        <f t="shared" si="6"/>
        <v>155555556</v>
      </c>
      <c r="C18" s="73">
        <f t="shared" si="0"/>
        <v>155555556</v>
      </c>
      <c r="E18" s="360">
        <f t="shared" si="3"/>
        <v>1.4999999999999999E-2</v>
      </c>
      <c r="F18" s="497">
        <v>0.1222</v>
      </c>
      <c r="G18" s="361">
        <f t="shared" si="4"/>
        <v>0.13719999999999999</v>
      </c>
      <c r="H18" s="255">
        <f t="shared" si="1"/>
        <v>58471.841871780824</v>
      </c>
      <c r="I18" s="363">
        <f t="shared" si="5"/>
        <v>0</v>
      </c>
    </row>
    <row r="19" spans="1:9" x14ac:dyDescent="0.3">
      <c r="A19" s="232">
        <f t="shared" si="2"/>
        <v>46217</v>
      </c>
      <c r="B19" s="515">
        <f t="shared" si="6"/>
        <v>155555556</v>
      </c>
      <c r="C19" s="73">
        <f t="shared" si="0"/>
        <v>155555556</v>
      </c>
      <c r="E19" s="256">
        <f t="shared" si="3"/>
        <v>1.4999999999999999E-2</v>
      </c>
      <c r="F19" s="497">
        <v>0.1222</v>
      </c>
      <c r="G19" s="254">
        <f t="shared" si="4"/>
        <v>0.13719999999999999</v>
      </c>
      <c r="H19" s="255">
        <f t="shared" si="1"/>
        <v>58471.841871780824</v>
      </c>
      <c r="I19" s="74">
        <f t="shared" si="5"/>
        <v>0</v>
      </c>
    </row>
    <row r="20" spans="1:9" x14ac:dyDescent="0.3">
      <c r="A20" s="232">
        <f t="shared" si="2"/>
        <v>46218</v>
      </c>
      <c r="B20" s="515">
        <f t="shared" si="6"/>
        <v>155555556</v>
      </c>
      <c r="C20" s="73">
        <f t="shared" si="0"/>
        <v>155555556</v>
      </c>
      <c r="E20" s="256">
        <f t="shared" si="3"/>
        <v>1.4999999999999999E-2</v>
      </c>
      <c r="F20" s="497">
        <v>0.1222</v>
      </c>
      <c r="G20" s="254">
        <f t="shared" si="4"/>
        <v>0.13719999999999999</v>
      </c>
      <c r="H20" s="255">
        <f t="shared" si="1"/>
        <v>58471.841871780824</v>
      </c>
      <c r="I20" s="74">
        <f t="shared" si="5"/>
        <v>0</v>
      </c>
    </row>
    <row r="21" spans="1:9" x14ac:dyDescent="0.3">
      <c r="A21" s="232">
        <f t="shared" si="2"/>
        <v>46219</v>
      </c>
      <c r="B21" s="515">
        <f t="shared" si="6"/>
        <v>155555556</v>
      </c>
      <c r="C21" s="73">
        <f t="shared" si="0"/>
        <v>155555556</v>
      </c>
      <c r="E21" s="256">
        <f t="shared" si="3"/>
        <v>1.4999999999999999E-2</v>
      </c>
      <c r="F21" s="497">
        <v>0.1222</v>
      </c>
      <c r="G21" s="254">
        <f t="shared" si="4"/>
        <v>0.13719999999999999</v>
      </c>
      <c r="H21" s="255">
        <f t="shared" si="1"/>
        <v>58471.841871780824</v>
      </c>
      <c r="I21" s="74">
        <f t="shared" si="5"/>
        <v>0</v>
      </c>
    </row>
    <row r="22" spans="1:9" x14ac:dyDescent="0.3">
      <c r="A22" s="232">
        <f t="shared" si="2"/>
        <v>46220</v>
      </c>
      <c r="B22" s="515">
        <f t="shared" si="6"/>
        <v>155555556</v>
      </c>
      <c r="C22" s="73">
        <f t="shared" si="0"/>
        <v>155555556</v>
      </c>
      <c r="E22" s="256">
        <f t="shared" si="3"/>
        <v>1.4999999999999999E-2</v>
      </c>
      <c r="F22" s="497">
        <v>0.1222</v>
      </c>
      <c r="G22" s="254">
        <f t="shared" si="4"/>
        <v>0.13719999999999999</v>
      </c>
      <c r="H22" s="255">
        <f t="shared" si="1"/>
        <v>58471.841871780824</v>
      </c>
      <c r="I22" s="74">
        <f t="shared" si="5"/>
        <v>0</v>
      </c>
    </row>
    <row r="23" spans="1:9" x14ac:dyDescent="0.3">
      <c r="A23" s="232">
        <f t="shared" si="2"/>
        <v>46221</v>
      </c>
      <c r="B23" s="515">
        <f t="shared" si="6"/>
        <v>155555556</v>
      </c>
      <c r="C23" s="73">
        <f t="shared" si="0"/>
        <v>155555556</v>
      </c>
      <c r="E23" s="256">
        <f t="shared" si="3"/>
        <v>1.4999999999999999E-2</v>
      </c>
      <c r="F23" s="497">
        <v>0.1222</v>
      </c>
      <c r="G23" s="254">
        <f t="shared" si="4"/>
        <v>0.13719999999999999</v>
      </c>
      <c r="H23" s="255">
        <f t="shared" si="1"/>
        <v>58471.841871780824</v>
      </c>
      <c r="I23" s="74">
        <f t="shared" si="5"/>
        <v>0</v>
      </c>
    </row>
    <row r="24" spans="1:9" x14ac:dyDescent="0.3">
      <c r="A24" s="232">
        <f t="shared" si="2"/>
        <v>46222</v>
      </c>
      <c r="B24" s="515">
        <f t="shared" si="6"/>
        <v>155555556</v>
      </c>
      <c r="C24" s="73">
        <f t="shared" si="0"/>
        <v>155555556</v>
      </c>
      <c r="E24" s="256">
        <f t="shared" si="3"/>
        <v>1.4999999999999999E-2</v>
      </c>
      <c r="F24" s="497">
        <v>0.1222</v>
      </c>
      <c r="G24" s="254">
        <f t="shared" si="4"/>
        <v>0.13719999999999999</v>
      </c>
      <c r="H24" s="255">
        <f t="shared" si="1"/>
        <v>58471.841871780824</v>
      </c>
      <c r="I24" s="74">
        <f t="shared" si="5"/>
        <v>0</v>
      </c>
    </row>
    <row r="25" spans="1:9" x14ac:dyDescent="0.3">
      <c r="A25" s="232">
        <f t="shared" si="2"/>
        <v>46223</v>
      </c>
      <c r="B25" s="515">
        <f t="shared" si="6"/>
        <v>155555556</v>
      </c>
      <c r="C25" s="73">
        <f t="shared" si="0"/>
        <v>155555556</v>
      </c>
      <c r="E25" s="256">
        <f t="shared" si="3"/>
        <v>1.4999999999999999E-2</v>
      </c>
      <c r="F25" s="497">
        <v>0.1222</v>
      </c>
      <c r="G25" s="254">
        <f t="shared" si="4"/>
        <v>0.13719999999999999</v>
      </c>
      <c r="H25" s="255">
        <f t="shared" si="1"/>
        <v>58471.841871780824</v>
      </c>
      <c r="I25" s="74">
        <f t="shared" si="5"/>
        <v>0</v>
      </c>
    </row>
    <row r="26" spans="1:9" x14ac:dyDescent="0.3">
      <c r="A26" s="232">
        <f t="shared" si="2"/>
        <v>46224</v>
      </c>
      <c r="B26" s="515">
        <f t="shared" si="6"/>
        <v>155555556</v>
      </c>
      <c r="C26" s="73">
        <f t="shared" si="0"/>
        <v>155555556</v>
      </c>
      <c r="E26" s="256">
        <f t="shared" si="3"/>
        <v>1.4999999999999999E-2</v>
      </c>
      <c r="F26" s="497">
        <v>0.1222</v>
      </c>
      <c r="G26" s="254">
        <f t="shared" si="4"/>
        <v>0.13719999999999999</v>
      </c>
      <c r="H26" s="255">
        <f t="shared" si="1"/>
        <v>58471.841871780824</v>
      </c>
      <c r="I26" s="74">
        <f t="shared" si="5"/>
        <v>0</v>
      </c>
    </row>
    <row r="27" spans="1:9" x14ac:dyDescent="0.3">
      <c r="A27" s="232">
        <f t="shared" si="2"/>
        <v>46225</v>
      </c>
      <c r="B27" s="515">
        <f t="shared" si="6"/>
        <v>155555556</v>
      </c>
      <c r="C27" s="73">
        <f t="shared" si="0"/>
        <v>155555556</v>
      </c>
      <c r="E27" s="256">
        <f t="shared" si="3"/>
        <v>1.4999999999999999E-2</v>
      </c>
      <c r="F27" s="497">
        <v>0.1222</v>
      </c>
      <c r="G27" s="254">
        <f t="shared" si="4"/>
        <v>0.13719999999999999</v>
      </c>
      <c r="H27" s="255">
        <f t="shared" si="1"/>
        <v>58471.841871780824</v>
      </c>
      <c r="I27" s="74">
        <f t="shared" si="5"/>
        <v>0</v>
      </c>
    </row>
    <row r="28" spans="1:9" x14ac:dyDescent="0.3">
      <c r="A28" s="232">
        <f t="shared" si="2"/>
        <v>46226</v>
      </c>
      <c r="B28" s="515">
        <f t="shared" si="6"/>
        <v>155555556</v>
      </c>
      <c r="C28" s="73">
        <f t="shared" si="0"/>
        <v>155555556</v>
      </c>
      <c r="E28" s="256">
        <f t="shared" si="3"/>
        <v>1.4999999999999999E-2</v>
      </c>
      <c r="F28" s="497">
        <v>0.1222</v>
      </c>
      <c r="G28" s="254">
        <f t="shared" si="4"/>
        <v>0.13719999999999999</v>
      </c>
      <c r="H28" s="255">
        <f t="shared" si="1"/>
        <v>58471.841871780824</v>
      </c>
      <c r="I28" s="74">
        <f t="shared" si="5"/>
        <v>0</v>
      </c>
    </row>
    <row r="29" spans="1:9" x14ac:dyDescent="0.3">
      <c r="A29" s="232">
        <f t="shared" si="2"/>
        <v>46227</v>
      </c>
      <c r="B29" s="515">
        <f t="shared" si="6"/>
        <v>155555556</v>
      </c>
      <c r="C29" s="73">
        <f t="shared" si="0"/>
        <v>155555556</v>
      </c>
      <c r="E29" s="256">
        <f t="shared" si="3"/>
        <v>1.4999999999999999E-2</v>
      </c>
      <c r="F29" s="497">
        <v>0.1222</v>
      </c>
      <c r="G29" s="254">
        <f t="shared" si="4"/>
        <v>0.13719999999999999</v>
      </c>
      <c r="H29" s="255">
        <f t="shared" si="1"/>
        <v>58471.841871780824</v>
      </c>
      <c r="I29" s="74">
        <f t="shared" si="5"/>
        <v>0</v>
      </c>
    </row>
    <row r="30" spans="1:9" x14ac:dyDescent="0.3">
      <c r="A30" s="232">
        <f t="shared" si="2"/>
        <v>46228</v>
      </c>
      <c r="B30" s="515">
        <f t="shared" si="6"/>
        <v>155555556</v>
      </c>
      <c r="C30" s="73">
        <f t="shared" si="0"/>
        <v>155555556</v>
      </c>
      <c r="E30" s="256">
        <f t="shared" si="3"/>
        <v>1.4999999999999999E-2</v>
      </c>
      <c r="F30" s="497">
        <v>0.1222</v>
      </c>
      <c r="G30" s="254">
        <f t="shared" si="4"/>
        <v>0.13719999999999999</v>
      </c>
      <c r="H30" s="255">
        <f t="shared" si="1"/>
        <v>58471.841871780824</v>
      </c>
      <c r="I30" s="74">
        <f t="shared" si="5"/>
        <v>0</v>
      </c>
    </row>
    <row r="31" spans="1:9" x14ac:dyDescent="0.3">
      <c r="A31" s="232">
        <f t="shared" si="2"/>
        <v>46229</v>
      </c>
      <c r="B31" s="515">
        <f t="shared" si="6"/>
        <v>155555556</v>
      </c>
      <c r="C31" s="73">
        <f t="shared" si="0"/>
        <v>155555556</v>
      </c>
      <c r="E31" s="256">
        <f t="shared" si="3"/>
        <v>1.4999999999999999E-2</v>
      </c>
      <c r="F31" s="497">
        <v>0.1222</v>
      </c>
      <c r="G31" s="254">
        <f t="shared" si="4"/>
        <v>0.13719999999999999</v>
      </c>
      <c r="H31" s="255">
        <f t="shared" si="1"/>
        <v>58471.841871780824</v>
      </c>
      <c r="I31" s="74">
        <f t="shared" si="5"/>
        <v>0</v>
      </c>
    </row>
    <row r="32" spans="1:9" x14ac:dyDescent="0.3">
      <c r="A32" s="232">
        <f t="shared" si="2"/>
        <v>46230</v>
      </c>
      <c r="B32" s="515">
        <f t="shared" si="6"/>
        <v>155555556</v>
      </c>
      <c r="C32" s="73">
        <f t="shared" si="0"/>
        <v>155555556</v>
      </c>
      <c r="E32" s="256">
        <f t="shared" si="3"/>
        <v>1.4999999999999999E-2</v>
      </c>
      <c r="F32" s="497">
        <v>0.1222</v>
      </c>
      <c r="G32" s="254">
        <f t="shared" si="4"/>
        <v>0.13719999999999999</v>
      </c>
      <c r="H32" s="255">
        <f t="shared" si="1"/>
        <v>58471.841871780824</v>
      </c>
      <c r="I32" s="74">
        <f t="shared" si="5"/>
        <v>0</v>
      </c>
    </row>
    <row r="33" spans="1:10" x14ac:dyDescent="0.3">
      <c r="A33" s="232">
        <f t="shared" si="2"/>
        <v>46231</v>
      </c>
      <c r="B33" s="515">
        <f t="shared" si="6"/>
        <v>155555556</v>
      </c>
      <c r="C33" s="73">
        <f>SUM(B33:B33)</f>
        <v>155555556</v>
      </c>
      <c r="E33" s="256">
        <f t="shared" si="3"/>
        <v>1.4999999999999999E-2</v>
      </c>
      <c r="F33" s="497">
        <v>0.1222</v>
      </c>
      <c r="G33" s="254">
        <f>+F33+E33</f>
        <v>0.13719999999999999</v>
      </c>
      <c r="H33" s="255">
        <f>IF(C33&lt;0,0,C33*G33/365)</f>
        <v>58471.841871780824</v>
      </c>
      <c r="I33" s="74">
        <f>+C33-C32</f>
        <v>0</v>
      </c>
    </row>
    <row r="34" spans="1:10" x14ac:dyDescent="0.3">
      <c r="A34" s="232">
        <f t="shared" si="2"/>
        <v>46232</v>
      </c>
      <c r="B34" s="515">
        <f t="shared" si="6"/>
        <v>155555556</v>
      </c>
      <c r="C34" s="73">
        <f>SUM(B34:B34)</f>
        <v>155555556</v>
      </c>
      <c r="E34" s="256">
        <f t="shared" si="3"/>
        <v>1.4999999999999999E-2</v>
      </c>
      <c r="F34" s="497">
        <v>0.1222</v>
      </c>
      <c r="G34" s="254">
        <f>+F34+E34</f>
        <v>0.13719999999999999</v>
      </c>
      <c r="H34" s="255">
        <f>IF(C34&lt;0,0,C34*G34/365)</f>
        <v>58471.841871780824</v>
      </c>
      <c r="I34" s="74">
        <f>+C34-C33</f>
        <v>0</v>
      </c>
    </row>
    <row r="35" spans="1:10" x14ac:dyDescent="0.3">
      <c r="A35" s="232">
        <f t="shared" si="2"/>
        <v>46233</v>
      </c>
      <c r="B35" s="515">
        <f t="shared" si="6"/>
        <v>155555556</v>
      </c>
      <c r="C35" s="73">
        <f>SUM(B35:B35)</f>
        <v>155555556</v>
      </c>
      <c r="E35" s="256">
        <f t="shared" si="3"/>
        <v>1.4999999999999999E-2</v>
      </c>
      <c r="F35" s="497">
        <v>0.1222</v>
      </c>
      <c r="G35" s="254">
        <f>+F35+E35</f>
        <v>0.13719999999999999</v>
      </c>
      <c r="H35" s="255">
        <f>IF(C35&lt;0,0,C35*G35/365)</f>
        <v>58471.841871780824</v>
      </c>
      <c r="I35" s="74">
        <f>+C35-C34</f>
        <v>0</v>
      </c>
    </row>
    <row r="36" spans="1:10" x14ac:dyDescent="0.3">
      <c r="A36" s="232">
        <f t="shared" si="2"/>
        <v>46234</v>
      </c>
      <c r="B36" s="515">
        <f t="shared" si="6"/>
        <v>155555556</v>
      </c>
      <c r="C36" s="73">
        <f>SUM(B36:B36)</f>
        <v>155555556</v>
      </c>
      <c r="E36" s="256">
        <f t="shared" si="3"/>
        <v>1.4999999999999999E-2</v>
      </c>
      <c r="F36" s="497">
        <v>0.1222</v>
      </c>
      <c r="G36" s="254">
        <f>+F36+E36</f>
        <v>0.13719999999999999</v>
      </c>
      <c r="H36" s="255">
        <f>IF(C36&lt;0,0,C36*G36/365)</f>
        <v>58471.841871780824</v>
      </c>
      <c r="I36" s="74">
        <f>+C36-C35</f>
        <v>0</v>
      </c>
    </row>
    <row r="37" spans="1:10" x14ac:dyDescent="0.3">
      <c r="E37" s="258" t="s">
        <v>18</v>
      </c>
      <c r="F37" s="259"/>
      <c r="G37" s="19"/>
      <c r="H37" s="260">
        <f>SUM(H6:H36)</f>
        <v>1810751.9076624655</v>
      </c>
    </row>
    <row r="38" spans="1:10" x14ac:dyDescent="0.3">
      <c r="A38" s="795"/>
      <c r="B38" s="795"/>
      <c r="C38" s="795"/>
      <c r="D38" s="795"/>
      <c r="E38" s="795"/>
      <c r="F38" s="795"/>
      <c r="G38" s="795"/>
      <c r="H38" s="795"/>
    </row>
    <row r="39" spans="1:10" x14ac:dyDescent="0.3">
      <c r="E39" s="783" t="s">
        <v>24</v>
      </c>
      <c r="F39" s="783"/>
      <c r="G39" s="783"/>
    </row>
    <row r="40" spans="1:10" x14ac:dyDescent="0.3">
      <c r="E40" s="784"/>
      <c r="F40" s="784"/>
      <c r="G40" s="784"/>
      <c r="H40" s="261" t="s">
        <v>0</v>
      </c>
    </row>
    <row r="41" spans="1:10" x14ac:dyDescent="0.3">
      <c r="E41" s="785" t="s">
        <v>19</v>
      </c>
      <c r="F41" s="785"/>
      <c r="G41" s="785"/>
      <c r="H41" s="265">
        <f>[3]PBICL!$H$46</f>
        <v>1752280.0657906849</v>
      </c>
      <c r="I41" s="189"/>
    </row>
    <row r="42" spans="1:10" ht="15" x14ac:dyDescent="0.35">
      <c r="E42" s="803" t="s">
        <v>40</v>
      </c>
      <c r="F42" s="803"/>
      <c r="G42" s="803"/>
      <c r="H42" s="262">
        <v>0</v>
      </c>
      <c r="I42" s="189"/>
      <c r="J42" s="1"/>
    </row>
    <row r="43" spans="1:10" x14ac:dyDescent="0.3">
      <c r="B43" s="2"/>
      <c r="E43" s="787" t="str">
        <f>IF(H43&lt;0,"Excess Provision to be Reversed","Additional Provision Required")</f>
        <v>Additional Provision Required</v>
      </c>
      <c r="F43" s="787"/>
      <c r="G43" s="787"/>
      <c r="H43" s="263">
        <f>IF(H42=0,0,H42-H41)</f>
        <v>0</v>
      </c>
    </row>
    <row r="44" spans="1:10" x14ac:dyDescent="0.3">
      <c r="E44" s="784"/>
      <c r="F44" s="784"/>
      <c r="G44" s="784"/>
      <c r="H44" s="784"/>
    </row>
    <row r="45" spans="1:10" ht="16.2" customHeight="1" thickBot="1" x14ac:dyDescent="0.35">
      <c r="E45" s="780" t="s">
        <v>145</v>
      </c>
      <c r="F45" s="780"/>
      <c r="G45" s="780"/>
      <c r="H45" s="264">
        <f>H37+H43</f>
        <v>1810751.9076624655</v>
      </c>
    </row>
    <row r="46" spans="1:10" x14ac:dyDescent="0.3">
      <c r="E46" s="781"/>
      <c r="F46" s="781"/>
      <c r="G46" s="781"/>
      <c r="H46" s="781"/>
    </row>
    <row r="47" spans="1:10" x14ac:dyDescent="0.3">
      <c r="E47" s="782" t="s">
        <v>33</v>
      </c>
      <c r="F47" s="782"/>
      <c r="G47" s="782"/>
      <c r="H47" s="265">
        <f>H41+H45-H42</f>
        <v>3563031.9734531501</v>
      </c>
    </row>
    <row r="49" spans="8:8" x14ac:dyDescent="0.3">
      <c r="H49" s="312"/>
    </row>
  </sheetData>
  <mergeCells count="15">
    <mergeCell ref="A1:H1"/>
    <mergeCell ref="A2:G2"/>
    <mergeCell ref="A3:H3"/>
    <mergeCell ref="A4:A5"/>
    <mergeCell ref="F4:F5"/>
    <mergeCell ref="A38:H38"/>
    <mergeCell ref="E45:G45"/>
    <mergeCell ref="E46:H46"/>
    <mergeCell ref="E47:G47"/>
    <mergeCell ref="E39:G39"/>
    <mergeCell ref="E40:G40"/>
    <mergeCell ref="E41:G41"/>
    <mergeCell ref="E42:G42"/>
    <mergeCell ref="E43:G43"/>
    <mergeCell ref="E44:H44"/>
  </mergeCells>
  <printOptions horizontalCentered="1" verticalCentered="1"/>
  <pageMargins left="0.75" right="0.75" top="0.5" bottom="0.5" header="0.5" footer="0.5"/>
  <pageSetup scale="80" orientation="landscape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8301-F5C8-4266-B6A0-1200617AE52C}">
  <sheetPr>
    <pageSetUpPr fitToPage="1"/>
  </sheetPr>
  <dimension ref="A1:O38"/>
  <sheetViews>
    <sheetView showGridLines="0" topLeftCell="A5" zoomScaleNormal="100" zoomScaleSheetLayoutView="100" workbookViewId="0">
      <selection activeCell="H12" sqref="H12"/>
    </sheetView>
  </sheetViews>
  <sheetFormatPr defaultColWidth="10.6328125" defaultRowHeight="13.8" x14ac:dyDescent="0.3"/>
  <cols>
    <col min="1" max="3" width="9.6328125" style="2" customWidth="1"/>
    <col min="4" max="4" width="12.453125" style="123" customWidth="1"/>
    <col min="5" max="5" width="12" style="123" customWidth="1"/>
    <col min="6" max="6" width="2.36328125" style="2" customWidth="1"/>
    <col min="7" max="7" width="7.90625" style="2" customWidth="1"/>
    <col min="8" max="8" width="8.81640625" style="2" customWidth="1"/>
    <col min="9" max="9" width="6.90625" style="2" customWidth="1"/>
    <col min="10" max="10" width="11.08984375" style="2" customWidth="1"/>
    <col min="11" max="11" width="11.90625" style="2" bestFit="1" customWidth="1"/>
    <col min="12" max="12" width="11" style="2" bestFit="1" customWidth="1"/>
    <col min="13" max="14" width="10.6328125" style="2"/>
    <col min="15" max="15" width="11" style="2" bestFit="1" customWidth="1"/>
    <col min="16" max="16384" width="10.6328125" style="2"/>
  </cols>
  <sheetData>
    <row r="1" spans="1:15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5" ht="18.600000000000001" thickBot="1" x14ac:dyDescent="0.4">
      <c r="A2" s="789" t="s">
        <v>230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5" ht="14.4" thickBot="1" x14ac:dyDescent="0.35">
      <c r="A3" s="790"/>
      <c r="B3" s="790"/>
      <c r="C3" s="790"/>
      <c r="D3" s="790"/>
      <c r="E3" s="790"/>
      <c r="F3" s="790"/>
      <c r="G3" s="790"/>
      <c r="H3" s="790"/>
      <c r="I3" s="790"/>
      <c r="J3" s="790"/>
    </row>
    <row r="4" spans="1:15" ht="15.6" customHeight="1" x14ac:dyDescent="0.3">
      <c r="A4" s="817" t="s">
        <v>219</v>
      </c>
      <c r="B4" s="822" t="s">
        <v>220</v>
      </c>
      <c r="C4" s="822" t="s">
        <v>221</v>
      </c>
      <c r="D4" s="473" t="s">
        <v>225</v>
      </c>
      <c r="E4" s="474" t="s">
        <v>222</v>
      </c>
      <c r="G4" s="244" t="s">
        <v>160</v>
      </c>
      <c r="H4" s="811" t="s">
        <v>212</v>
      </c>
      <c r="I4" s="245" t="s">
        <v>161</v>
      </c>
      <c r="J4" s="246" t="s">
        <v>162</v>
      </c>
      <c r="K4" s="246" t="s">
        <v>224</v>
      </c>
    </row>
    <row r="5" spans="1:15" ht="16.2" customHeight="1" thickBot="1" x14ac:dyDescent="0.35">
      <c r="A5" s="818"/>
      <c r="B5" s="823"/>
      <c r="C5" s="823"/>
      <c r="D5" s="475" t="s">
        <v>226</v>
      </c>
      <c r="E5" s="476" t="s">
        <v>223</v>
      </c>
      <c r="G5" s="248" t="s">
        <v>164</v>
      </c>
      <c r="H5" s="812"/>
      <c r="I5" s="249" t="s">
        <v>165</v>
      </c>
      <c r="J5" s="250" t="s">
        <v>166</v>
      </c>
      <c r="K5" s="482" t="s">
        <v>223</v>
      </c>
      <c r="L5" s="472" t="s">
        <v>228</v>
      </c>
      <c r="M5" s="495" t="s">
        <v>229</v>
      </c>
    </row>
    <row r="6" spans="1:15" x14ac:dyDescent="0.3">
      <c r="A6" s="480">
        <v>45629</v>
      </c>
      <c r="B6" s="480">
        <v>45719</v>
      </c>
      <c r="C6" s="477">
        <v>90</v>
      </c>
      <c r="D6" s="477">
        <v>200000000</v>
      </c>
      <c r="E6" s="478">
        <v>0</v>
      </c>
      <c r="G6" s="252">
        <v>1.4999999999999999E-2</v>
      </c>
      <c r="H6" s="253">
        <v>0.127</v>
      </c>
      <c r="I6" s="254">
        <f>+H6+G6</f>
        <v>0.14200000000000002</v>
      </c>
      <c r="J6" s="483">
        <f>D6*I6/365*C6</f>
        <v>7002739.7260273984</v>
      </c>
      <c r="K6" s="12">
        <f>+J6+E6</f>
        <v>7002739.7260273984</v>
      </c>
      <c r="L6" s="1">
        <v>7002740</v>
      </c>
      <c r="M6" s="1">
        <f>+L6-J6</f>
        <v>0.27397260162979364</v>
      </c>
    </row>
    <row r="7" spans="1:15" x14ac:dyDescent="0.3">
      <c r="A7" s="549">
        <f>+B7-C7</f>
        <v>45719</v>
      </c>
      <c r="B7" s="549">
        <v>45811</v>
      </c>
      <c r="C7" s="550">
        <v>92</v>
      </c>
      <c r="D7" s="550">
        <v>200000000</v>
      </c>
      <c r="E7" s="551">
        <v>0</v>
      </c>
      <c r="F7" s="64"/>
      <c r="G7" s="519">
        <f>+G6</f>
        <v>1.4999999999999999E-2</v>
      </c>
      <c r="H7" s="497">
        <v>0.1191</v>
      </c>
      <c r="I7" s="517">
        <f>+H7+G7</f>
        <v>0.1341</v>
      </c>
      <c r="J7" s="552">
        <f>D7*I7/365*C7</f>
        <v>6760109.5890410952</v>
      </c>
      <c r="K7" s="82">
        <f>+J7+E7</f>
        <v>6760109.5890410952</v>
      </c>
      <c r="L7" s="553">
        <v>7158356</v>
      </c>
      <c r="M7" s="120">
        <f t="shared" ref="M7:M25" si="0">+L7-J7</f>
        <v>398246.41095890477</v>
      </c>
    </row>
    <row r="8" spans="1:15" s="359" customFormat="1" x14ac:dyDescent="0.3">
      <c r="A8" s="549">
        <f t="shared" ref="A8:A25" si="1">+B8-C8</f>
        <v>45811</v>
      </c>
      <c r="B8" s="549">
        <v>45903</v>
      </c>
      <c r="C8" s="550">
        <v>92</v>
      </c>
      <c r="D8" s="550">
        <f>D7-E8</f>
        <v>188888889</v>
      </c>
      <c r="E8" s="551">
        <v>11111111</v>
      </c>
      <c r="F8" s="64"/>
      <c r="G8" s="519">
        <f t="shared" ref="G8:G25" si="2">+G7</f>
        <v>1.4999999999999999E-2</v>
      </c>
      <c r="H8" s="497">
        <v>0.1114</v>
      </c>
      <c r="I8" s="517">
        <f t="shared" ref="I8:I24" si="3">+H8+G8</f>
        <v>0.12640000000000001</v>
      </c>
      <c r="J8" s="552">
        <f>D7*I8/365*C8</f>
        <v>6371945.2054794533</v>
      </c>
      <c r="K8" s="82">
        <f>+J8+E8</f>
        <v>17483056.205479454</v>
      </c>
      <c r="L8" s="120">
        <v>7158356</v>
      </c>
      <c r="M8" s="120">
        <f>+L8-J8</f>
        <v>786410.79452054668</v>
      </c>
      <c r="O8" s="499"/>
    </row>
    <row r="9" spans="1:15" x14ac:dyDescent="0.3">
      <c r="A9" s="549">
        <f t="shared" si="1"/>
        <v>45903</v>
      </c>
      <c r="B9" s="549">
        <v>45994</v>
      </c>
      <c r="C9" s="550">
        <v>91</v>
      </c>
      <c r="D9" s="550">
        <f t="shared" ref="D9:D24" si="4">D8-E9</f>
        <v>177777778</v>
      </c>
      <c r="E9" s="551">
        <v>11111111</v>
      </c>
      <c r="F9" s="64"/>
      <c r="G9" s="519">
        <f t="shared" si="2"/>
        <v>1.4999999999999999E-2</v>
      </c>
      <c r="H9" s="497">
        <v>0.1104</v>
      </c>
      <c r="I9" s="517">
        <f t="shared" si="3"/>
        <v>0.12540000000000001</v>
      </c>
      <c r="J9" s="552">
        <f t="shared" ref="J9:J25" si="5">D8*I9/365*C9</f>
        <v>5905442.9258482195</v>
      </c>
      <c r="K9" s="82">
        <f t="shared" ref="K9:K25" si="6">+J9+E9</f>
        <v>17016553.92584822</v>
      </c>
      <c r="L9" s="120">
        <v>5905443</v>
      </c>
      <c r="M9" s="120">
        <f>+L9-J9</f>
        <v>7.415178045630455E-2</v>
      </c>
      <c r="O9" s="1"/>
    </row>
    <row r="10" spans="1:15" x14ac:dyDescent="0.3">
      <c r="A10" s="549">
        <f t="shared" si="1"/>
        <v>45994</v>
      </c>
      <c r="B10" s="549">
        <v>46084</v>
      </c>
      <c r="C10" s="550">
        <v>90</v>
      </c>
      <c r="D10" s="550">
        <f>D9-E10</f>
        <v>166666667</v>
      </c>
      <c r="E10" s="551">
        <v>11111111</v>
      </c>
      <c r="F10" s="64"/>
      <c r="G10" s="519">
        <f t="shared" si="2"/>
        <v>1.4999999999999999E-2</v>
      </c>
      <c r="H10" s="497">
        <v>0.111</v>
      </c>
      <c r="I10" s="517">
        <f t="shared" si="3"/>
        <v>0.126</v>
      </c>
      <c r="J10" s="552">
        <f t="shared" si="5"/>
        <v>5523287.6781369867</v>
      </c>
      <c r="K10" s="82">
        <f t="shared" si="6"/>
        <v>16634398.678136986</v>
      </c>
      <c r="L10" s="120">
        <v>6224658</v>
      </c>
      <c r="M10" s="120">
        <f t="shared" si="0"/>
        <v>701370.32186301332</v>
      </c>
    </row>
    <row r="11" spans="1:15" x14ac:dyDescent="0.3">
      <c r="A11" s="503">
        <f t="shared" si="1"/>
        <v>46084</v>
      </c>
      <c r="B11" s="503">
        <v>46176</v>
      </c>
      <c r="C11" s="504">
        <v>92</v>
      </c>
      <c r="D11" s="504">
        <f t="shared" si="4"/>
        <v>155555556</v>
      </c>
      <c r="E11" s="505">
        <v>11111111</v>
      </c>
      <c r="F11" s="506"/>
      <c r="G11" s="507">
        <f t="shared" si="2"/>
        <v>1.4999999999999999E-2</v>
      </c>
      <c r="H11" s="508">
        <v>0.1062</v>
      </c>
      <c r="I11" s="509">
        <f t="shared" si="3"/>
        <v>0.1212</v>
      </c>
      <c r="J11" s="510">
        <f t="shared" si="5"/>
        <v>5091506.8594980827</v>
      </c>
      <c r="K11" s="511">
        <f t="shared" si="6"/>
        <v>16202617.859498084</v>
      </c>
      <c r="L11" s="512">
        <v>5091507</v>
      </c>
      <c r="M11" s="512">
        <f>+L11-J11</f>
        <v>0.14050191733986139</v>
      </c>
      <c r="O11" s="312">
        <v>0</v>
      </c>
    </row>
    <row r="12" spans="1:15" x14ac:dyDescent="0.3">
      <c r="A12" s="480">
        <f t="shared" si="1"/>
        <v>46176</v>
      </c>
      <c r="B12" s="480">
        <v>46268</v>
      </c>
      <c r="C12" s="477">
        <v>92</v>
      </c>
      <c r="D12" s="477">
        <f t="shared" si="4"/>
        <v>144444445</v>
      </c>
      <c r="E12" s="479">
        <v>11111111</v>
      </c>
      <c r="G12" s="256">
        <f t="shared" si="2"/>
        <v>1.4999999999999999E-2</v>
      </c>
      <c r="H12" s="253">
        <v>0.127</v>
      </c>
      <c r="I12" s="254">
        <f t="shared" si="3"/>
        <v>0.14200000000000002</v>
      </c>
      <c r="J12" s="483">
        <f t="shared" si="5"/>
        <v>5567610.3659835625</v>
      </c>
      <c r="K12" s="465">
        <f t="shared" si="6"/>
        <v>16678721.365983563</v>
      </c>
      <c r="L12" s="1">
        <v>5567610</v>
      </c>
      <c r="M12" s="1">
        <f t="shared" si="0"/>
        <v>-0.36598356254398823</v>
      </c>
    </row>
    <row r="13" spans="1:15" x14ac:dyDescent="0.3">
      <c r="A13" s="480">
        <f t="shared" si="1"/>
        <v>46268</v>
      </c>
      <c r="B13" s="480">
        <v>46359</v>
      </c>
      <c r="C13" s="477">
        <v>91</v>
      </c>
      <c r="D13" s="477">
        <f t="shared" si="4"/>
        <v>133333334</v>
      </c>
      <c r="E13" s="479">
        <v>11111111</v>
      </c>
      <c r="G13" s="256">
        <f t="shared" si="2"/>
        <v>1.4999999999999999E-2</v>
      </c>
      <c r="H13" s="253">
        <v>0.127</v>
      </c>
      <c r="I13" s="254">
        <f t="shared" si="3"/>
        <v>0.14200000000000002</v>
      </c>
      <c r="J13" s="483">
        <f t="shared" si="5"/>
        <v>5113729.0912054796</v>
      </c>
      <c r="K13" s="465">
        <f t="shared" si="6"/>
        <v>16224840.09120548</v>
      </c>
      <c r="L13" s="1">
        <v>5113729</v>
      </c>
      <c r="M13" s="1">
        <f t="shared" si="0"/>
        <v>-9.1205479577183723E-2</v>
      </c>
    </row>
    <row r="14" spans="1:15" x14ac:dyDescent="0.3">
      <c r="A14" s="480">
        <f t="shared" si="1"/>
        <v>46359</v>
      </c>
      <c r="B14" s="480">
        <v>46449</v>
      </c>
      <c r="C14" s="477">
        <v>90</v>
      </c>
      <c r="D14" s="477">
        <f t="shared" si="4"/>
        <v>122222223</v>
      </c>
      <c r="E14" s="479">
        <v>11111111</v>
      </c>
      <c r="G14" s="256">
        <f t="shared" si="2"/>
        <v>1.4999999999999999E-2</v>
      </c>
      <c r="H14" s="253">
        <v>0.127</v>
      </c>
      <c r="I14" s="254">
        <f t="shared" si="3"/>
        <v>0.14200000000000002</v>
      </c>
      <c r="J14" s="483">
        <f t="shared" si="5"/>
        <v>4668493.1740273982</v>
      </c>
      <c r="K14" s="465">
        <f t="shared" si="6"/>
        <v>15779604.174027398</v>
      </c>
      <c r="L14" s="1">
        <v>4668493</v>
      </c>
      <c r="M14" s="1">
        <f t="shared" si="0"/>
        <v>-0.17402739822864532</v>
      </c>
    </row>
    <row r="15" spans="1:15" x14ac:dyDescent="0.3">
      <c r="A15" s="480">
        <f t="shared" si="1"/>
        <v>46449</v>
      </c>
      <c r="B15" s="480">
        <v>46541</v>
      </c>
      <c r="C15" s="477">
        <v>92</v>
      </c>
      <c r="D15" s="477">
        <f t="shared" si="4"/>
        <v>111111112</v>
      </c>
      <c r="E15" s="479">
        <v>11111111</v>
      </c>
      <c r="G15" s="256">
        <f t="shared" si="2"/>
        <v>1.4999999999999999E-2</v>
      </c>
      <c r="H15" s="253">
        <v>0.127</v>
      </c>
      <c r="I15" s="254">
        <f t="shared" si="3"/>
        <v>0.14200000000000002</v>
      </c>
      <c r="J15" s="483">
        <f t="shared" si="5"/>
        <v>4374551.0171835618</v>
      </c>
      <c r="K15" s="465">
        <f t="shared" si="6"/>
        <v>15485662.017183561</v>
      </c>
      <c r="L15" s="1">
        <v>4374551</v>
      </c>
      <c r="M15" s="1">
        <f t="shared" si="0"/>
        <v>-1.7183561809360981E-2</v>
      </c>
    </row>
    <row r="16" spans="1:15" s="359" customFormat="1" x14ac:dyDescent="0.3">
      <c r="A16" s="480">
        <f t="shared" si="1"/>
        <v>46541</v>
      </c>
      <c r="B16" s="480">
        <v>46633</v>
      </c>
      <c r="C16" s="477">
        <v>92</v>
      </c>
      <c r="D16" s="477">
        <f t="shared" si="4"/>
        <v>100000001</v>
      </c>
      <c r="E16" s="479">
        <v>11111111</v>
      </c>
      <c r="G16" s="360">
        <f t="shared" si="2"/>
        <v>1.4999999999999999E-2</v>
      </c>
      <c r="H16" s="253">
        <v>0.127</v>
      </c>
      <c r="I16" s="361">
        <f t="shared" si="3"/>
        <v>0.14200000000000002</v>
      </c>
      <c r="J16" s="483">
        <f t="shared" si="5"/>
        <v>3976864.5675835614</v>
      </c>
      <c r="K16" s="465">
        <f t="shared" si="6"/>
        <v>15087975.567583561</v>
      </c>
      <c r="L16" s="439">
        <v>3976865</v>
      </c>
      <c r="M16" s="1">
        <f t="shared" si="0"/>
        <v>0.4324164385907352</v>
      </c>
    </row>
    <row r="17" spans="1:13" s="359" customFormat="1" x14ac:dyDescent="0.3">
      <c r="A17" s="480">
        <f t="shared" si="1"/>
        <v>46633</v>
      </c>
      <c r="B17" s="480">
        <v>46724</v>
      </c>
      <c r="C17" s="477">
        <v>91</v>
      </c>
      <c r="D17" s="477">
        <f t="shared" si="4"/>
        <v>88888890</v>
      </c>
      <c r="E17" s="479">
        <v>11111111</v>
      </c>
      <c r="G17" s="360">
        <f t="shared" si="2"/>
        <v>1.4999999999999999E-2</v>
      </c>
      <c r="H17" s="253">
        <v>0.127</v>
      </c>
      <c r="I17" s="361">
        <f t="shared" si="3"/>
        <v>0.14200000000000002</v>
      </c>
      <c r="J17" s="483">
        <f t="shared" si="5"/>
        <v>3540274.0080054798</v>
      </c>
      <c r="K17" s="465">
        <f t="shared" si="6"/>
        <v>14651385.008005479</v>
      </c>
      <c r="L17" s="439">
        <v>3540274</v>
      </c>
      <c r="M17" s="1">
        <f t="shared" si="0"/>
        <v>-8.0054798163473606E-3</v>
      </c>
    </row>
    <row r="18" spans="1:13" s="359" customFormat="1" x14ac:dyDescent="0.3">
      <c r="A18" s="485">
        <f t="shared" si="1"/>
        <v>46724</v>
      </c>
      <c r="B18" s="485">
        <v>46815</v>
      </c>
      <c r="C18" s="486">
        <v>91</v>
      </c>
      <c r="D18" s="486">
        <f t="shared" si="4"/>
        <v>77777779</v>
      </c>
      <c r="E18" s="487">
        <v>11111111</v>
      </c>
      <c r="F18" s="488"/>
      <c r="G18" s="489">
        <f t="shared" si="2"/>
        <v>1.4999999999999999E-2</v>
      </c>
      <c r="H18" s="490">
        <v>0.127</v>
      </c>
      <c r="I18" s="491">
        <f t="shared" si="3"/>
        <v>0.14200000000000002</v>
      </c>
      <c r="J18" s="492">
        <f>D17*I18/366*C18</f>
        <v>3138312.1218032786</v>
      </c>
      <c r="K18" s="493">
        <f>+J18+E18</f>
        <v>14249423.121803278</v>
      </c>
      <c r="L18" s="494">
        <v>3138312</v>
      </c>
      <c r="M18" s="494">
        <f t="shared" si="0"/>
        <v>-0.12180327856913209</v>
      </c>
    </row>
    <row r="19" spans="1:13" x14ac:dyDescent="0.3">
      <c r="A19" s="485">
        <f t="shared" si="1"/>
        <v>46815</v>
      </c>
      <c r="B19" s="485">
        <v>46907</v>
      </c>
      <c r="C19" s="486">
        <v>92</v>
      </c>
      <c r="D19" s="486">
        <f t="shared" si="4"/>
        <v>66666668</v>
      </c>
      <c r="E19" s="487">
        <v>11111111</v>
      </c>
      <c r="F19" s="488"/>
      <c r="G19" s="489">
        <f t="shared" si="2"/>
        <v>1.4999999999999999E-2</v>
      </c>
      <c r="H19" s="490">
        <v>0.127</v>
      </c>
      <c r="I19" s="491">
        <f t="shared" si="3"/>
        <v>0.14200000000000002</v>
      </c>
      <c r="J19" s="492">
        <f>D18*I19/366*C19</f>
        <v>2776199.1935956283</v>
      </c>
      <c r="K19" s="493">
        <f>+J19+E19</f>
        <v>13887310.193595629</v>
      </c>
      <c r="L19" s="494">
        <v>2776199</v>
      </c>
      <c r="M19" s="494">
        <f t="shared" si="0"/>
        <v>-0.19359562825411558</v>
      </c>
    </row>
    <row r="20" spans="1:13" x14ac:dyDescent="0.3">
      <c r="A20" s="485">
        <f t="shared" si="1"/>
        <v>46907</v>
      </c>
      <c r="B20" s="485">
        <v>46999</v>
      </c>
      <c r="C20" s="486">
        <v>92</v>
      </c>
      <c r="D20" s="486">
        <f t="shared" si="4"/>
        <v>55555557</v>
      </c>
      <c r="E20" s="487">
        <v>11111111</v>
      </c>
      <c r="F20" s="488"/>
      <c r="G20" s="489">
        <f t="shared" si="2"/>
        <v>1.4999999999999999E-2</v>
      </c>
      <c r="H20" s="490">
        <v>0.127</v>
      </c>
      <c r="I20" s="491">
        <f t="shared" si="3"/>
        <v>0.14200000000000002</v>
      </c>
      <c r="J20" s="492">
        <f>D19*I20/366*C20</f>
        <v>2379599.3189945356</v>
      </c>
      <c r="K20" s="493">
        <f>+J20+E20</f>
        <v>13490710.318994535</v>
      </c>
      <c r="L20" s="494">
        <v>2379599</v>
      </c>
      <c r="M20" s="494">
        <f t="shared" si="0"/>
        <v>-0.31899453559890389</v>
      </c>
    </row>
    <row r="21" spans="1:13" x14ac:dyDescent="0.3">
      <c r="A21" s="485">
        <f t="shared" si="1"/>
        <v>46999</v>
      </c>
      <c r="B21" s="485">
        <v>47090</v>
      </c>
      <c r="C21" s="486">
        <v>91</v>
      </c>
      <c r="D21" s="486">
        <f t="shared" si="4"/>
        <v>44444446</v>
      </c>
      <c r="E21" s="487">
        <v>11111111</v>
      </c>
      <c r="F21" s="488"/>
      <c r="G21" s="489">
        <f t="shared" si="2"/>
        <v>1.4999999999999999E-2</v>
      </c>
      <c r="H21" s="490">
        <v>0.127</v>
      </c>
      <c r="I21" s="491">
        <f t="shared" si="3"/>
        <v>0.14200000000000002</v>
      </c>
      <c r="J21" s="492">
        <f>D20*I21/366*C21</f>
        <v>1961445.1026065575</v>
      </c>
      <c r="K21" s="493">
        <f>+J21+E21</f>
        <v>13072556.102606557</v>
      </c>
      <c r="L21" s="494">
        <v>1961445</v>
      </c>
      <c r="M21" s="494">
        <f t="shared" si="0"/>
        <v>-0.10260655754245818</v>
      </c>
    </row>
    <row r="22" spans="1:13" x14ac:dyDescent="0.3">
      <c r="A22" s="480">
        <f t="shared" si="1"/>
        <v>47090</v>
      </c>
      <c r="B22" s="480">
        <v>47180</v>
      </c>
      <c r="C22" s="477">
        <v>90</v>
      </c>
      <c r="D22" s="477">
        <f t="shared" si="4"/>
        <v>33333335</v>
      </c>
      <c r="E22" s="479">
        <v>11111111</v>
      </c>
      <c r="G22" s="256">
        <f t="shared" si="2"/>
        <v>1.4999999999999999E-2</v>
      </c>
      <c r="H22" s="253">
        <v>0.127</v>
      </c>
      <c r="I22" s="254">
        <f t="shared" si="3"/>
        <v>0.14200000000000002</v>
      </c>
      <c r="J22" s="483">
        <f t="shared" si="5"/>
        <v>1556164.4380273973</v>
      </c>
      <c r="K22" s="465">
        <f t="shared" si="6"/>
        <v>12667275.438027397</v>
      </c>
      <c r="L22" s="1">
        <v>1556164</v>
      </c>
      <c r="M22" s="1">
        <f t="shared" si="0"/>
        <v>-0.43802739726379514</v>
      </c>
    </row>
    <row r="23" spans="1:13" x14ac:dyDescent="0.3">
      <c r="A23" s="480">
        <f t="shared" si="1"/>
        <v>47180</v>
      </c>
      <c r="B23" s="480">
        <v>47272</v>
      </c>
      <c r="C23" s="477">
        <v>92</v>
      </c>
      <c r="D23" s="477">
        <f t="shared" si="4"/>
        <v>22222224</v>
      </c>
      <c r="E23" s="479">
        <v>11111111</v>
      </c>
      <c r="G23" s="256">
        <f t="shared" si="2"/>
        <v>1.4999999999999999E-2</v>
      </c>
      <c r="H23" s="253">
        <v>0.127</v>
      </c>
      <c r="I23" s="254">
        <f t="shared" si="3"/>
        <v>0.14200000000000002</v>
      </c>
      <c r="J23" s="483">
        <f t="shared" si="5"/>
        <v>1193059.4203835619</v>
      </c>
      <c r="K23" s="465">
        <f t="shared" si="6"/>
        <v>12304170.420383561</v>
      </c>
      <c r="L23" s="1">
        <v>1193059</v>
      </c>
      <c r="M23" s="1">
        <f t="shared" si="0"/>
        <v>-0.42038356186822057</v>
      </c>
    </row>
    <row r="24" spans="1:13" x14ac:dyDescent="0.3">
      <c r="A24" s="480">
        <f t="shared" si="1"/>
        <v>47272</v>
      </c>
      <c r="B24" s="480">
        <v>47364</v>
      </c>
      <c r="C24" s="477">
        <v>92</v>
      </c>
      <c r="D24" s="477">
        <f t="shared" si="4"/>
        <v>11111113</v>
      </c>
      <c r="E24" s="479">
        <v>11111111</v>
      </c>
      <c r="G24" s="256">
        <f t="shared" si="2"/>
        <v>1.4999999999999999E-2</v>
      </c>
      <c r="H24" s="253">
        <v>0.127</v>
      </c>
      <c r="I24" s="254">
        <f t="shared" si="3"/>
        <v>0.14200000000000002</v>
      </c>
      <c r="J24" s="483">
        <f t="shared" si="5"/>
        <v>795372.9707835617</v>
      </c>
      <c r="K24" s="465">
        <f t="shared" si="6"/>
        <v>11906483.970783561</v>
      </c>
      <c r="L24" s="1">
        <v>795373</v>
      </c>
      <c r="M24" s="1">
        <f t="shared" si="0"/>
        <v>2.9216438299044967E-2</v>
      </c>
    </row>
    <row r="25" spans="1:13" x14ac:dyDescent="0.3">
      <c r="A25" s="480">
        <f t="shared" si="1"/>
        <v>47364</v>
      </c>
      <c r="B25" s="480">
        <v>47455</v>
      </c>
      <c r="C25" s="477">
        <v>91</v>
      </c>
      <c r="D25" s="477">
        <f>D24</f>
        <v>11111113</v>
      </c>
      <c r="E25" s="479">
        <v>11111113</v>
      </c>
      <c r="G25" s="256">
        <f t="shared" si="2"/>
        <v>1.4999999999999999E-2</v>
      </c>
      <c r="H25" s="253">
        <v>0.127</v>
      </c>
      <c r="I25" s="254">
        <f>+H25+G25</f>
        <v>0.14200000000000002</v>
      </c>
      <c r="J25" s="483">
        <f t="shared" si="5"/>
        <v>393363.84160547948</v>
      </c>
      <c r="K25" s="465">
        <f t="shared" si="6"/>
        <v>11504476.841605479</v>
      </c>
      <c r="L25" s="1">
        <v>393364</v>
      </c>
      <c r="M25" s="1">
        <f t="shared" si="0"/>
        <v>0.15839452052023262</v>
      </c>
    </row>
    <row r="26" spans="1:13" x14ac:dyDescent="0.3">
      <c r="E26" s="481">
        <f>SUM(E6:E25)</f>
        <v>200000000</v>
      </c>
      <c r="G26" s="819" t="s">
        <v>227</v>
      </c>
      <c r="H26" s="820"/>
      <c r="I26" s="821"/>
      <c r="J26" s="484">
        <f>SUM(J6:J25)</f>
        <v>78090070.615820289</v>
      </c>
      <c r="K26" s="484">
        <f>SUM(K6:K25)</f>
        <v>278090070.61582023</v>
      </c>
      <c r="L26" s="74">
        <f>SUM(L6:L25)</f>
        <v>79976097</v>
      </c>
      <c r="M26" s="74">
        <f>SUM(M6:M25)</f>
        <v>1886026.3841797207</v>
      </c>
    </row>
    <row r="27" spans="1:13" x14ac:dyDescent="0.3">
      <c r="A27" s="795"/>
      <c r="B27" s="795"/>
      <c r="C27" s="795"/>
      <c r="D27" s="795"/>
      <c r="E27" s="795"/>
      <c r="F27" s="795"/>
      <c r="G27" s="795"/>
      <c r="H27" s="795"/>
      <c r="I27" s="795"/>
      <c r="J27" s="795"/>
    </row>
    <row r="28" spans="1:13" x14ac:dyDescent="0.3">
      <c r="G28" s="783" t="s">
        <v>24</v>
      </c>
      <c r="H28" s="783"/>
      <c r="I28" s="783"/>
    </row>
    <row r="29" spans="1:13" x14ac:dyDescent="0.3">
      <c r="G29" s="784"/>
      <c r="H29" s="784"/>
      <c r="I29" s="784"/>
      <c r="J29" s="261" t="s">
        <v>0</v>
      </c>
    </row>
    <row r="30" spans="1:13" x14ac:dyDescent="0.3">
      <c r="G30" s="785" t="s">
        <v>19</v>
      </c>
      <c r="H30" s="785"/>
      <c r="I30" s="785"/>
      <c r="J30" s="265"/>
    </row>
    <row r="31" spans="1:13" ht="15" x14ac:dyDescent="0.35">
      <c r="G31" s="803" t="s">
        <v>40</v>
      </c>
      <c r="H31" s="803"/>
      <c r="I31" s="803"/>
      <c r="J31" s="262"/>
    </row>
    <row r="32" spans="1:13" x14ac:dyDescent="0.3">
      <c r="D32" s="2"/>
      <c r="G32" s="787" t="str">
        <f>IF(J32&lt;0,"Excess Provision to be Reversed","Additional Provision Required")</f>
        <v>Additional Provision Required</v>
      </c>
      <c r="H32" s="787"/>
      <c r="I32" s="787"/>
      <c r="J32" s="263">
        <f>IF(J31=0,0,J31-J30)</f>
        <v>0</v>
      </c>
    </row>
    <row r="33" spans="7:10" x14ac:dyDescent="0.3">
      <c r="G33" s="784"/>
      <c r="H33" s="784"/>
      <c r="I33" s="784"/>
      <c r="J33" s="784"/>
    </row>
    <row r="34" spans="7:10" ht="16.2" customHeight="1" thickBot="1" x14ac:dyDescent="0.35">
      <c r="G34" s="780" t="s">
        <v>145</v>
      </c>
      <c r="H34" s="780"/>
      <c r="I34" s="780"/>
      <c r="J34" s="264">
        <f>J26+J32</f>
        <v>78090070.615820289</v>
      </c>
    </row>
    <row r="35" spans="7:10" x14ac:dyDescent="0.3">
      <c r="G35" s="781"/>
      <c r="H35" s="781"/>
      <c r="I35" s="781"/>
      <c r="J35" s="781"/>
    </row>
    <row r="36" spans="7:10" x14ac:dyDescent="0.3">
      <c r="G36" s="782" t="s">
        <v>33</v>
      </c>
      <c r="H36" s="782"/>
      <c r="I36" s="782"/>
      <c r="J36" s="265">
        <f>J30+J34-J31</f>
        <v>78090070.615820289</v>
      </c>
    </row>
    <row r="38" spans="7:10" x14ac:dyDescent="0.3">
      <c r="J38" s="312"/>
    </row>
  </sheetData>
  <mergeCells count="18">
    <mergeCell ref="G34:I34"/>
    <mergeCell ref="G35:J35"/>
    <mergeCell ref="G36:I36"/>
    <mergeCell ref="B4:B5"/>
    <mergeCell ref="C4:C5"/>
    <mergeCell ref="G28:I28"/>
    <mergeCell ref="G29:I29"/>
    <mergeCell ref="G30:I30"/>
    <mergeCell ref="G31:I31"/>
    <mergeCell ref="G32:I32"/>
    <mergeCell ref="G33:J33"/>
    <mergeCell ref="A1:J1"/>
    <mergeCell ref="A2:I2"/>
    <mergeCell ref="A3:J3"/>
    <mergeCell ref="A4:A5"/>
    <mergeCell ref="H4:H5"/>
    <mergeCell ref="A27:J27"/>
    <mergeCell ref="G26:I26"/>
  </mergeCells>
  <printOptions horizontalCentered="1" verticalCentered="1"/>
  <pageMargins left="0.75" right="0.75" top="0.5" bottom="0.5" header="0.5" footer="0.5"/>
  <pageSetup scale="81" orientation="landscape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5E72-6CA0-44E5-9D99-354E6C040032}">
  <dimension ref="B5:J11"/>
  <sheetViews>
    <sheetView workbookViewId="0">
      <selection activeCell="M22" sqref="M22"/>
    </sheetView>
  </sheetViews>
  <sheetFormatPr defaultRowHeight="15.6" x14ac:dyDescent="0.3"/>
  <cols>
    <col min="2" max="2" width="11.6328125" customWidth="1"/>
    <col min="3" max="3" width="12.08984375" customWidth="1"/>
    <col min="4" max="4" width="11.90625" customWidth="1"/>
    <col min="5" max="5" width="12.90625" customWidth="1"/>
    <col min="6" max="6" width="12.08984375" customWidth="1"/>
    <col min="7" max="7" width="11.1796875" customWidth="1"/>
    <col min="8" max="8" width="9" style="554" bestFit="1" customWidth="1"/>
    <col min="9" max="9" width="11" bestFit="1" customWidth="1"/>
    <col min="10" max="10" width="13.81640625" bestFit="1" customWidth="1"/>
  </cols>
  <sheetData>
    <row r="5" spans="2:10" x14ac:dyDescent="0.3">
      <c r="B5" s="555" t="s">
        <v>155</v>
      </c>
    </row>
    <row r="6" spans="2:10" ht="45.6" customHeight="1" x14ac:dyDescent="0.3">
      <c r="B6" s="86" t="s">
        <v>4</v>
      </c>
      <c r="C6" s="328" t="s">
        <v>243</v>
      </c>
      <c r="D6" s="328" t="s">
        <v>244</v>
      </c>
      <c r="E6" s="328" t="s">
        <v>245</v>
      </c>
      <c r="F6" s="328" t="s">
        <v>246</v>
      </c>
      <c r="G6" s="229" t="s">
        <v>0</v>
      </c>
    </row>
    <row r="7" spans="2:10" x14ac:dyDescent="0.3">
      <c r="B7" s="232">
        <v>45933</v>
      </c>
      <c r="C7" s="73">
        <f>41564.8*283.5</f>
        <v>11783620.800000001</v>
      </c>
      <c r="D7" s="73">
        <f>19600*283</f>
        <v>5546800</v>
      </c>
      <c r="E7" s="73">
        <f>22464*282.5</f>
        <v>6346080</v>
      </c>
      <c r="F7" s="73">
        <f>22464*282.5</f>
        <v>6346080</v>
      </c>
      <c r="G7" s="73">
        <f>SUM(C7:F7)</f>
        <v>30022580.800000001</v>
      </c>
      <c r="H7" s="554">
        <f>'SONERI-FATR'!C87</f>
        <v>0</v>
      </c>
      <c r="I7" s="554">
        <f>G7+H7</f>
        <v>30022580.800000001</v>
      </c>
      <c r="J7" s="555" t="s">
        <v>248</v>
      </c>
    </row>
    <row r="9" spans="2:10" x14ac:dyDescent="0.3">
      <c r="B9" s="555" t="s">
        <v>175</v>
      </c>
    </row>
    <row r="10" spans="2:10" ht="41.4" x14ac:dyDescent="0.3">
      <c r="B10" s="86" t="s">
        <v>4</v>
      </c>
      <c r="C10" s="328" t="s">
        <v>235</v>
      </c>
      <c r="D10" s="328" t="s">
        <v>242</v>
      </c>
      <c r="E10" s="328" t="s">
        <v>247</v>
      </c>
      <c r="F10" s="229" t="s">
        <v>0</v>
      </c>
      <c r="J10" s="498">
        <f>I11+I7</f>
        <v>65296214.711714253</v>
      </c>
    </row>
    <row r="11" spans="2:10" x14ac:dyDescent="0.3">
      <c r="B11" s="232">
        <v>45933</v>
      </c>
      <c r="C11" s="313">
        <f>33964*283-812</f>
        <v>9611000</v>
      </c>
      <c r="D11" s="313">
        <f>33964*282.85-717.4</f>
        <v>9606000</v>
      </c>
      <c r="E11" s="313">
        <f>55230*282.25</f>
        <v>15588667.5</v>
      </c>
      <c r="F11" s="73">
        <f>SUM(C11:E11)</f>
        <v>34805667.5</v>
      </c>
      <c r="H11" s="554">
        <v>467966.4117142465</v>
      </c>
      <c r="I11" s="554">
        <f>H11+F11</f>
        <v>35273633.911714248</v>
      </c>
      <c r="J11" s="555" t="s">
        <v>248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A5AA-A656-418C-B798-DCB3F5EC75B1}">
  <dimension ref="B8:K20"/>
  <sheetViews>
    <sheetView workbookViewId="0">
      <selection activeCell="J8" sqref="J8"/>
    </sheetView>
  </sheetViews>
  <sheetFormatPr defaultRowHeight="15.6" x14ac:dyDescent="0.3"/>
  <cols>
    <col min="2" max="2" width="11.453125" customWidth="1"/>
    <col min="3" max="3" width="13.81640625" bestFit="1" customWidth="1"/>
    <col min="4" max="4" width="11.1796875" bestFit="1" customWidth="1"/>
    <col min="5" max="5" width="16.453125" customWidth="1"/>
    <col min="6" max="6" width="1.08984375" customWidth="1"/>
    <col min="7" max="7" width="11.81640625" style="544" customWidth="1"/>
    <col min="8" max="8" width="11.6328125" style="544" customWidth="1"/>
    <col min="9" max="9" width="11.90625" style="544" customWidth="1"/>
    <col min="10" max="10" width="18.90625" style="544" customWidth="1"/>
    <col min="11" max="11" width="8.7265625" style="544"/>
  </cols>
  <sheetData>
    <row r="8" spans="2:10" x14ac:dyDescent="0.3">
      <c r="B8" s="544"/>
      <c r="C8" s="545" t="s">
        <v>239</v>
      </c>
      <c r="D8" s="545" t="s">
        <v>240</v>
      </c>
      <c r="E8" s="545" t="s">
        <v>98</v>
      </c>
      <c r="H8" s="545" t="s">
        <v>239</v>
      </c>
      <c r="I8" s="545" t="s">
        <v>240</v>
      </c>
      <c r="J8" s="545" t="s">
        <v>98</v>
      </c>
    </row>
    <row r="9" spans="2:10" x14ac:dyDescent="0.3">
      <c r="B9" s="544" t="s">
        <v>236</v>
      </c>
      <c r="C9" s="546">
        <f>'BORROWING SUMMARY '!D23</f>
        <v>47715526.859999999</v>
      </c>
      <c r="D9" s="546">
        <f>'BOP - RF'!J47</f>
        <v>454178.95135913405</v>
      </c>
      <c r="E9" s="547">
        <f>C9+D9</f>
        <v>48169705.81135913</v>
      </c>
      <c r="G9" s="544" t="s">
        <v>241</v>
      </c>
      <c r="H9" s="548">
        <v>25502580</v>
      </c>
      <c r="I9" s="548">
        <v>432586.64</v>
      </c>
      <c r="J9" s="548">
        <f>H9+I9</f>
        <v>25935166.640000001</v>
      </c>
    </row>
    <row r="10" spans="2:10" x14ac:dyDescent="0.3">
      <c r="B10" s="544" t="s">
        <v>237</v>
      </c>
      <c r="C10" s="546">
        <f>'BORROWING SUMMARY '!C23</f>
        <v>29785336.489999995</v>
      </c>
      <c r="D10" s="546">
        <f>'SONERI-RF '!J47</f>
        <v>272422.44838849315</v>
      </c>
      <c r="E10" s="547">
        <f>C10+D10-5000000</f>
        <v>25057758.938388489</v>
      </c>
    </row>
    <row r="11" spans="2:10" x14ac:dyDescent="0.3">
      <c r="B11" s="544" t="s">
        <v>238</v>
      </c>
      <c r="C11" s="546">
        <f>'BORROWING SUMMARY '!B23</f>
        <v>555209.2699999786</v>
      </c>
      <c r="D11" s="546">
        <f>'MCB-RF '!J47</f>
        <v>21789.871161761432</v>
      </c>
      <c r="E11" s="547">
        <f>C11+D11-2000000</f>
        <v>-1423000.8588382599</v>
      </c>
    </row>
    <row r="12" spans="2:10" x14ac:dyDescent="0.3">
      <c r="B12" s="544"/>
      <c r="C12" s="546"/>
      <c r="D12" s="546"/>
      <c r="E12" s="547"/>
    </row>
    <row r="13" spans="2:10" x14ac:dyDescent="0.3">
      <c r="B13" s="544"/>
      <c r="C13" s="544"/>
      <c r="D13" s="544"/>
      <c r="E13" s="547">
        <f>SUM(E9:E11)</f>
        <v>71804463.890909359</v>
      </c>
      <c r="J13" s="548">
        <f>J9</f>
        <v>25935166.640000001</v>
      </c>
    </row>
    <row r="16" spans="2:10" x14ac:dyDescent="0.3">
      <c r="B16" s="762"/>
      <c r="C16" s="762"/>
      <c r="D16" s="762"/>
      <c r="E16" s="762"/>
      <c r="F16" s="762"/>
      <c r="G16" s="762"/>
      <c r="H16" s="762"/>
      <c r="I16" s="762"/>
      <c r="J16" s="547">
        <f>J13+E13</f>
        <v>97739630.530909359</v>
      </c>
    </row>
    <row r="20" spans="3:3" x14ac:dyDescent="0.3">
      <c r="C20" s="528"/>
    </row>
  </sheetData>
  <mergeCells count="1">
    <mergeCell ref="B16:I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ECCF-E22E-4302-A57D-ED8E92A9C2C2}">
  <sheetPr transitionEvaluation="1">
    <pageSetUpPr fitToPage="1"/>
  </sheetPr>
  <dimension ref="A1:I19"/>
  <sheetViews>
    <sheetView showGridLines="0" defaultGridColor="0" colorId="22" zoomScale="90" workbookViewId="0">
      <selection activeCell="I13" sqref="I13"/>
    </sheetView>
  </sheetViews>
  <sheetFormatPr defaultColWidth="10.6328125" defaultRowHeight="13.8" x14ac:dyDescent="0.3"/>
  <cols>
    <col min="1" max="1" width="5.6328125" style="55" customWidth="1"/>
    <col min="2" max="2" width="4.90625" style="55" customWidth="1"/>
    <col min="3" max="3" width="26.81640625" style="55" customWidth="1"/>
    <col min="4" max="6" width="12" style="55" customWidth="1"/>
    <col min="7" max="7" width="5.6328125" style="55" customWidth="1"/>
    <col min="8" max="16384" width="10.6328125" style="55"/>
  </cols>
  <sheetData>
    <row r="1" spans="1:9" ht="18" x14ac:dyDescent="0.35">
      <c r="A1" s="70" t="s">
        <v>34</v>
      </c>
      <c r="B1" s="26"/>
      <c r="C1" s="26"/>
      <c r="D1" s="27"/>
      <c r="E1" s="26"/>
      <c r="F1" s="26"/>
    </row>
    <row r="2" spans="1:9" x14ac:dyDescent="0.3">
      <c r="A2" s="28"/>
      <c r="B2" s="29"/>
      <c r="C2" s="29"/>
      <c r="D2" s="29"/>
      <c r="E2" s="30" t="s">
        <v>14</v>
      </c>
      <c r="F2" s="31"/>
    </row>
    <row r="3" spans="1:9" x14ac:dyDescent="0.3">
      <c r="A3" s="32"/>
      <c r="B3" s="23"/>
      <c r="C3" s="23"/>
      <c r="D3" s="23"/>
      <c r="E3" s="25" t="s">
        <v>2</v>
      </c>
      <c r="F3" s="33"/>
    </row>
    <row r="4" spans="1:9" x14ac:dyDescent="0.3">
      <c r="A4" s="34"/>
      <c r="B4" s="24" t="s">
        <v>3</v>
      </c>
      <c r="C4" s="35"/>
      <c r="D4" s="35"/>
      <c r="E4" s="25" t="s">
        <v>17</v>
      </c>
      <c r="F4" s="31"/>
    </row>
    <row r="5" spans="1:9" x14ac:dyDescent="0.3">
      <c r="A5" s="32"/>
      <c r="B5" s="23"/>
      <c r="C5" s="23"/>
      <c r="D5" s="23"/>
      <c r="E5" s="25" t="s">
        <v>4</v>
      </c>
      <c r="F5" s="56" t="s">
        <v>149</v>
      </c>
    </row>
    <row r="6" spans="1:9" x14ac:dyDescent="0.3">
      <c r="A6" s="34"/>
      <c r="B6" s="36"/>
      <c r="C6" s="36"/>
      <c r="D6" s="36"/>
      <c r="E6" s="23"/>
      <c r="F6" s="37"/>
    </row>
    <row r="7" spans="1:9" x14ac:dyDescent="0.3">
      <c r="A7" s="38" t="s">
        <v>5</v>
      </c>
      <c r="B7" s="39" t="s">
        <v>6</v>
      </c>
      <c r="C7" s="40"/>
      <c r="D7" s="66" t="s">
        <v>15</v>
      </c>
      <c r="E7" s="41" t="s">
        <v>7</v>
      </c>
      <c r="F7" s="41" t="s">
        <v>8</v>
      </c>
    </row>
    <row r="8" spans="1:9" x14ac:dyDescent="0.3">
      <c r="A8" s="42" t="s">
        <v>9</v>
      </c>
      <c r="B8" s="43"/>
      <c r="C8" s="44"/>
      <c r="D8" s="45" t="s">
        <v>16</v>
      </c>
      <c r="E8" s="46" t="s">
        <v>10</v>
      </c>
      <c r="F8" s="46" t="s">
        <v>10</v>
      </c>
    </row>
    <row r="9" spans="1:9" x14ac:dyDescent="0.3">
      <c r="A9" s="47"/>
      <c r="B9" s="49"/>
      <c r="C9" s="50"/>
      <c r="D9" s="47"/>
      <c r="E9" s="48"/>
      <c r="F9" s="48"/>
    </row>
    <row r="10" spans="1:9" ht="15.6" customHeight="1" x14ac:dyDescent="0.3">
      <c r="A10" s="47">
        <v>1</v>
      </c>
      <c r="B10" s="824" t="s">
        <v>39</v>
      </c>
      <c r="C10" s="825"/>
      <c r="D10" s="62"/>
      <c r="E10" s="81" t="e">
        <f>#REF!</f>
        <v>#REF!</v>
      </c>
      <c r="F10" s="51"/>
    </row>
    <row r="11" spans="1:9" ht="15.6" customHeight="1" x14ac:dyDescent="0.3">
      <c r="A11" s="52">
        <v>2</v>
      </c>
      <c r="B11" s="826" t="str">
        <f>+B10</f>
        <v>Al-Baraka Bank-FATR</v>
      </c>
      <c r="C11" s="827"/>
      <c r="D11" s="63"/>
      <c r="E11" s="53"/>
      <c r="F11" s="53" t="e">
        <f>E10</f>
        <v>#REF!</v>
      </c>
    </row>
    <row r="12" spans="1:9" ht="14.4" thickBot="1" x14ac:dyDescent="0.35">
      <c r="A12" s="52"/>
      <c r="B12" s="211"/>
      <c r="C12" s="210"/>
      <c r="D12" s="63"/>
      <c r="E12" s="53"/>
      <c r="F12" s="53"/>
      <c r="G12" s="65"/>
      <c r="H12" s="65"/>
    </row>
    <row r="13" spans="1:9" ht="36" customHeight="1" thickBot="1" x14ac:dyDescent="0.35">
      <c r="A13" s="828" t="s">
        <v>150</v>
      </c>
      <c r="B13" s="829"/>
      <c r="C13" s="829"/>
      <c r="D13" s="830"/>
      <c r="E13" s="111" t="e">
        <f>SUM(E9:E12)</f>
        <v>#REF!</v>
      </c>
      <c r="F13" s="111" t="e">
        <f>SUM(F9:F12)</f>
        <v>#REF!</v>
      </c>
    </row>
    <row r="14" spans="1:9" x14ac:dyDescent="0.3">
      <c r="A14" s="26"/>
      <c r="B14" s="26"/>
      <c r="C14" s="26"/>
      <c r="D14" s="26"/>
      <c r="E14" s="26"/>
      <c r="F14" s="26"/>
    </row>
    <row r="15" spans="1:9" ht="15.6" x14ac:dyDescent="0.3">
      <c r="A15" s="67"/>
      <c r="B15" s="68"/>
      <c r="C15" s="68"/>
      <c r="D15" s="68"/>
      <c r="E15" s="68"/>
      <c r="F15" s="68"/>
      <c r="G15" s="65"/>
      <c r="H15" s="65"/>
      <c r="I15" s="65"/>
    </row>
    <row r="16" spans="1:9" x14ac:dyDescent="0.3">
      <c r="A16" s="69"/>
      <c r="B16" s="69"/>
      <c r="C16" s="69"/>
      <c r="D16" s="69"/>
      <c r="E16" s="69"/>
      <c r="F16" s="69"/>
      <c r="G16" s="65"/>
      <c r="H16" s="65"/>
      <c r="I16" s="65"/>
    </row>
    <row r="17" spans="1:6" x14ac:dyDescent="0.3">
      <c r="A17" s="26"/>
      <c r="B17" s="26"/>
      <c r="C17" s="26"/>
      <c r="D17" s="26"/>
      <c r="E17" s="26"/>
      <c r="F17" s="26"/>
    </row>
    <row r="18" spans="1:6" x14ac:dyDescent="0.3">
      <c r="A18" s="26"/>
      <c r="B18" s="26"/>
      <c r="C18" s="26"/>
      <c r="D18" s="26"/>
      <c r="E18" s="54"/>
      <c r="F18" s="26"/>
    </row>
    <row r="19" spans="1:6" ht="16.2" customHeight="1" x14ac:dyDescent="0.3">
      <c r="A19" s="26"/>
      <c r="B19" s="26"/>
      <c r="C19" s="26"/>
      <c r="D19" s="26"/>
      <c r="E19" s="54"/>
      <c r="F19" s="26"/>
    </row>
  </sheetData>
  <mergeCells count="3">
    <mergeCell ref="B10:C10"/>
    <mergeCell ref="B11:C11"/>
    <mergeCell ref="A13:D13"/>
  </mergeCells>
  <printOptions horizontalCentered="1" verticalCentered="1"/>
  <pageMargins left="0.5" right="0.5" top="0.5" bottom="0.5" header="0.5" footer="0.5"/>
  <pageSetup orientation="landscape" horizontalDpi="300" verticalDpi="300" r:id="rId1"/>
  <headerFooter alignWithMargins="0">
    <oddFooter>&amp;L&amp;9&amp;D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2585-E83E-4187-AB01-F912434F736D}">
  <sheetPr>
    <pageSetUpPr fitToPage="1"/>
  </sheetPr>
  <dimension ref="A1:O160"/>
  <sheetViews>
    <sheetView showGridLines="0" topLeftCell="A23" zoomScaleNormal="100" workbookViewId="0">
      <selection activeCell="B157" sqref="B157"/>
    </sheetView>
  </sheetViews>
  <sheetFormatPr defaultColWidth="10.6328125" defaultRowHeight="13.8" x14ac:dyDescent="0.3"/>
  <cols>
    <col min="1" max="1" width="24.7265625" style="2" customWidth="1"/>
    <col min="2" max="2" width="13.36328125" style="2" bestFit="1" customWidth="1"/>
    <col min="3" max="5" width="12.6328125" style="2" customWidth="1"/>
    <col min="6" max="6" width="2.453125" style="64" customWidth="1"/>
    <col min="7" max="7" width="15.90625" style="2" bestFit="1" customWidth="1"/>
    <col min="8" max="16384" width="10.6328125" style="2"/>
  </cols>
  <sheetData>
    <row r="1" spans="1:11" ht="18" x14ac:dyDescent="0.35">
      <c r="A1" s="6" t="s">
        <v>56</v>
      </c>
      <c r="B1" s="123"/>
      <c r="C1" s="123"/>
      <c r="D1" s="123"/>
      <c r="E1" s="123"/>
      <c r="F1" s="189"/>
      <c r="G1" s="123"/>
    </row>
    <row r="2" spans="1:11" ht="18.600000000000001" thickBot="1" x14ac:dyDescent="0.4">
      <c r="A2" s="7" t="s">
        <v>116</v>
      </c>
      <c r="B2" s="124"/>
      <c r="C2" s="124"/>
      <c r="D2" s="124"/>
      <c r="E2" s="124"/>
      <c r="F2" s="190"/>
      <c r="G2" s="58" t="e">
        <f>#REF!</f>
        <v>#REF!</v>
      </c>
    </row>
    <row r="3" spans="1:11" x14ac:dyDescent="0.3">
      <c r="A3" s="125" t="s">
        <v>57</v>
      </c>
    </row>
    <row r="4" spans="1:11" ht="15.6" customHeight="1" x14ac:dyDescent="0.3">
      <c r="A4" s="837" t="s">
        <v>4</v>
      </c>
      <c r="B4" s="839"/>
      <c r="C4" s="127"/>
      <c r="D4" s="127"/>
      <c r="E4" s="127"/>
      <c r="F4" s="191"/>
      <c r="G4" s="834" t="s">
        <v>0</v>
      </c>
    </row>
    <row r="5" spans="1:11" ht="23.4" customHeight="1" x14ac:dyDescent="0.3">
      <c r="A5" s="838"/>
      <c r="B5" s="840"/>
      <c r="C5" s="128"/>
      <c r="D5" s="128"/>
      <c r="E5" s="128"/>
      <c r="F5" s="192"/>
      <c r="G5" s="835"/>
    </row>
    <row r="6" spans="1:11" x14ac:dyDescent="0.3">
      <c r="A6" s="5">
        <v>43922</v>
      </c>
      <c r="B6" s="90"/>
      <c r="C6" s="73">
        <v>0</v>
      </c>
      <c r="D6" s="73">
        <v>0</v>
      </c>
      <c r="E6" s="73">
        <v>0</v>
      </c>
      <c r="F6" s="90"/>
      <c r="G6" s="73">
        <f t="shared" ref="G6:G35" si="0">SUM(B6:E6)</f>
        <v>0</v>
      </c>
      <c r="I6" s="97">
        <v>43712</v>
      </c>
      <c r="J6" s="100">
        <v>180</v>
      </c>
      <c r="K6" s="97">
        <f>I6+J6</f>
        <v>43892</v>
      </c>
    </row>
    <row r="7" spans="1:11" x14ac:dyDescent="0.3">
      <c r="A7" s="5">
        <v>43923</v>
      </c>
      <c r="B7" s="90">
        <f>188700-188700</f>
        <v>0</v>
      </c>
      <c r="C7" s="73">
        <f t="shared" ref="C7:E22" si="1">C6</f>
        <v>0</v>
      </c>
      <c r="D7" s="73">
        <f t="shared" si="1"/>
        <v>0</v>
      </c>
      <c r="E7" s="73">
        <f t="shared" si="1"/>
        <v>0</v>
      </c>
      <c r="F7" s="90"/>
      <c r="G7" s="73">
        <f t="shared" si="0"/>
        <v>0</v>
      </c>
    </row>
    <row r="8" spans="1:11" x14ac:dyDescent="0.3">
      <c r="A8" s="5">
        <v>43924</v>
      </c>
      <c r="B8" s="90">
        <f t="shared" ref="B8:B34" si="2">188700-188700</f>
        <v>0</v>
      </c>
      <c r="C8" s="73">
        <f t="shared" si="1"/>
        <v>0</v>
      </c>
      <c r="D8" s="73">
        <f t="shared" si="1"/>
        <v>0</v>
      </c>
      <c r="E8" s="73">
        <f t="shared" si="1"/>
        <v>0</v>
      </c>
      <c r="F8" s="90"/>
      <c r="G8" s="73">
        <f t="shared" si="0"/>
        <v>0</v>
      </c>
    </row>
    <row r="9" spans="1:11" x14ac:dyDescent="0.3">
      <c r="A9" s="5">
        <v>43925</v>
      </c>
      <c r="B9" s="90">
        <f t="shared" si="2"/>
        <v>0</v>
      </c>
      <c r="C9" s="73">
        <f t="shared" si="1"/>
        <v>0</v>
      </c>
      <c r="D9" s="73">
        <f t="shared" si="1"/>
        <v>0</v>
      </c>
      <c r="E9" s="73">
        <f t="shared" si="1"/>
        <v>0</v>
      </c>
      <c r="F9" s="90"/>
      <c r="G9" s="73">
        <f t="shared" si="0"/>
        <v>0</v>
      </c>
    </row>
    <row r="10" spans="1:11" x14ac:dyDescent="0.3">
      <c r="A10" s="5">
        <v>43926</v>
      </c>
      <c r="B10" s="90">
        <f t="shared" si="2"/>
        <v>0</v>
      </c>
      <c r="C10" s="73">
        <f t="shared" si="1"/>
        <v>0</v>
      </c>
      <c r="D10" s="73">
        <f t="shared" si="1"/>
        <v>0</v>
      </c>
      <c r="E10" s="73">
        <f t="shared" si="1"/>
        <v>0</v>
      </c>
      <c r="F10" s="90"/>
      <c r="G10" s="73">
        <f t="shared" si="0"/>
        <v>0</v>
      </c>
    </row>
    <row r="11" spans="1:11" x14ac:dyDescent="0.3">
      <c r="A11" s="5">
        <v>43927</v>
      </c>
      <c r="B11" s="90">
        <f t="shared" si="2"/>
        <v>0</v>
      </c>
      <c r="C11" s="73">
        <f t="shared" si="1"/>
        <v>0</v>
      </c>
      <c r="D11" s="73">
        <f t="shared" si="1"/>
        <v>0</v>
      </c>
      <c r="E11" s="73">
        <f t="shared" si="1"/>
        <v>0</v>
      </c>
      <c r="F11" s="90"/>
      <c r="G11" s="73">
        <f t="shared" si="0"/>
        <v>0</v>
      </c>
    </row>
    <row r="12" spans="1:11" x14ac:dyDescent="0.3">
      <c r="A12" s="5">
        <v>43928</v>
      </c>
      <c r="B12" s="90">
        <f t="shared" si="2"/>
        <v>0</v>
      </c>
      <c r="C12" s="73">
        <f t="shared" si="1"/>
        <v>0</v>
      </c>
      <c r="D12" s="73">
        <f t="shared" si="1"/>
        <v>0</v>
      </c>
      <c r="E12" s="73">
        <f t="shared" si="1"/>
        <v>0</v>
      </c>
      <c r="F12" s="90"/>
      <c r="G12" s="73">
        <f t="shared" si="0"/>
        <v>0</v>
      </c>
    </row>
    <row r="13" spans="1:11" x14ac:dyDescent="0.3">
      <c r="A13" s="5">
        <v>43929</v>
      </c>
      <c r="B13" s="90">
        <f t="shared" si="2"/>
        <v>0</v>
      </c>
      <c r="C13" s="73">
        <f t="shared" si="1"/>
        <v>0</v>
      </c>
      <c r="D13" s="73">
        <f t="shared" si="1"/>
        <v>0</v>
      </c>
      <c r="E13" s="73">
        <f t="shared" si="1"/>
        <v>0</v>
      </c>
      <c r="F13" s="90"/>
      <c r="G13" s="73">
        <f t="shared" si="0"/>
        <v>0</v>
      </c>
    </row>
    <row r="14" spans="1:11" x14ac:dyDescent="0.3">
      <c r="A14" s="5">
        <v>43930</v>
      </c>
      <c r="B14" s="90">
        <f t="shared" si="2"/>
        <v>0</v>
      </c>
      <c r="C14" s="73">
        <f t="shared" si="1"/>
        <v>0</v>
      </c>
      <c r="D14" s="73">
        <f t="shared" si="1"/>
        <v>0</v>
      </c>
      <c r="E14" s="73">
        <f t="shared" si="1"/>
        <v>0</v>
      </c>
      <c r="F14" s="90"/>
      <c r="G14" s="73">
        <f t="shared" si="0"/>
        <v>0</v>
      </c>
    </row>
    <row r="15" spans="1:11" x14ac:dyDescent="0.3">
      <c r="A15" s="5">
        <v>43931</v>
      </c>
      <c r="B15" s="90">
        <f t="shared" si="2"/>
        <v>0</v>
      </c>
      <c r="C15" s="73">
        <f t="shared" si="1"/>
        <v>0</v>
      </c>
      <c r="D15" s="73">
        <f t="shared" si="1"/>
        <v>0</v>
      </c>
      <c r="E15" s="73">
        <f t="shared" si="1"/>
        <v>0</v>
      </c>
      <c r="F15" s="90"/>
      <c r="G15" s="73">
        <f t="shared" si="0"/>
        <v>0</v>
      </c>
    </row>
    <row r="16" spans="1:11" x14ac:dyDescent="0.3">
      <c r="A16" s="5">
        <v>43932</v>
      </c>
      <c r="B16" s="90">
        <f t="shared" si="2"/>
        <v>0</v>
      </c>
      <c r="C16" s="73">
        <f t="shared" si="1"/>
        <v>0</v>
      </c>
      <c r="D16" s="73">
        <f t="shared" si="1"/>
        <v>0</v>
      </c>
      <c r="E16" s="73">
        <f t="shared" si="1"/>
        <v>0</v>
      </c>
      <c r="F16" s="90"/>
      <c r="G16" s="73">
        <f t="shared" si="0"/>
        <v>0</v>
      </c>
    </row>
    <row r="17" spans="1:7" x14ac:dyDescent="0.3">
      <c r="A17" s="5">
        <v>43933</v>
      </c>
      <c r="B17" s="90">
        <f t="shared" si="2"/>
        <v>0</v>
      </c>
      <c r="C17" s="73">
        <f t="shared" si="1"/>
        <v>0</v>
      </c>
      <c r="D17" s="73">
        <f t="shared" si="1"/>
        <v>0</v>
      </c>
      <c r="E17" s="73">
        <f t="shared" si="1"/>
        <v>0</v>
      </c>
      <c r="F17" s="90"/>
      <c r="G17" s="73">
        <f t="shared" si="0"/>
        <v>0</v>
      </c>
    </row>
    <row r="18" spans="1:7" x14ac:dyDescent="0.3">
      <c r="A18" s="5">
        <v>43934</v>
      </c>
      <c r="B18" s="90">
        <f t="shared" si="2"/>
        <v>0</v>
      </c>
      <c r="C18" s="73">
        <f t="shared" si="1"/>
        <v>0</v>
      </c>
      <c r="D18" s="73">
        <f t="shared" si="1"/>
        <v>0</v>
      </c>
      <c r="E18" s="73">
        <f t="shared" si="1"/>
        <v>0</v>
      </c>
      <c r="F18" s="90"/>
      <c r="G18" s="73">
        <f t="shared" si="0"/>
        <v>0</v>
      </c>
    </row>
    <row r="19" spans="1:7" x14ac:dyDescent="0.3">
      <c r="A19" s="5">
        <v>43935</v>
      </c>
      <c r="B19" s="90">
        <f t="shared" si="2"/>
        <v>0</v>
      </c>
      <c r="C19" s="73">
        <f t="shared" si="1"/>
        <v>0</v>
      </c>
      <c r="D19" s="73">
        <f t="shared" si="1"/>
        <v>0</v>
      </c>
      <c r="E19" s="73">
        <f t="shared" si="1"/>
        <v>0</v>
      </c>
      <c r="F19" s="90"/>
      <c r="G19" s="73">
        <f t="shared" si="0"/>
        <v>0</v>
      </c>
    </row>
    <row r="20" spans="1:7" x14ac:dyDescent="0.3">
      <c r="A20" s="5">
        <v>43936</v>
      </c>
      <c r="B20" s="90">
        <f t="shared" si="2"/>
        <v>0</v>
      </c>
      <c r="C20" s="73">
        <f t="shared" si="1"/>
        <v>0</v>
      </c>
      <c r="D20" s="73">
        <f t="shared" si="1"/>
        <v>0</v>
      </c>
      <c r="E20" s="73">
        <f t="shared" si="1"/>
        <v>0</v>
      </c>
      <c r="F20" s="90"/>
      <c r="G20" s="73">
        <f t="shared" si="0"/>
        <v>0</v>
      </c>
    </row>
    <row r="21" spans="1:7" x14ac:dyDescent="0.3">
      <c r="A21" s="5">
        <v>43937</v>
      </c>
      <c r="B21" s="90">
        <f t="shared" si="2"/>
        <v>0</v>
      </c>
      <c r="C21" s="73">
        <f t="shared" si="1"/>
        <v>0</v>
      </c>
      <c r="D21" s="73">
        <f t="shared" si="1"/>
        <v>0</v>
      </c>
      <c r="E21" s="73">
        <f t="shared" si="1"/>
        <v>0</v>
      </c>
      <c r="F21" s="90"/>
      <c r="G21" s="73">
        <f t="shared" si="0"/>
        <v>0</v>
      </c>
    </row>
    <row r="22" spans="1:7" x14ac:dyDescent="0.3">
      <c r="A22" s="5">
        <v>43938</v>
      </c>
      <c r="B22" s="90">
        <f t="shared" si="2"/>
        <v>0</v>
      </c>
      <c r="C22" s="73">
        <f t="shared" si="1"/>
        <v>0</v>
      </c>
      <c r="D22" s="73">
        <f t="shared" si="1"/>
        <v>0</v>
      </c>
      <c r="E22" s="73">
        <f t="shared" si="1"/>
        <v>0</v>
      </c>
      <c r="F22" s="90"/>
      <c r="G22" s="73">
        <f t="shared" si="0"/>
        <v>0</v>
      </c>
    </row>
    <row r="23" spans="1:7" x14ac:dyDescent="0.3">
      <c r="A23" s="5">
        <v>43939</v>
      </c>
      <c r="B23" s="90">
        <f t="shared" si="2"/>
        <v>0</v>
      </c>
      <c r="C23" s="73">
        <f t="shared" ref="C23:E34" si="3">C22</f>
        <v>0</v>
      </c>
      <c r="D23" s="73">
        <f t="shared" si="3"/>
        <v>0</v>
      </c>
      <c r="E23" s="73">
        <f t="shared" si="3"/>
        <v>0</v>
      </c>
      <c r="F23" s="90"/>
      <c r="G23" s="73">
        <f t="shared" si="0"/>
        <v>0</v>
      </c>
    </row>
    <row r="24" spans="1:7" x14ac:dyDescent="0.3">
      <c r="A24" s="5">
        <v>43940</v>
      </c>
      <c r="B24" s="90">
        <f t="shared" si="2"/>
        <v>0</v>
      </c>
      <c r="C24" s="73">
        <f t="shared" si="3"/>
        <v>0</v>
      </c>
      <c r="D24" s="73">
        <f t="shared" si="3"/>
        <v>0</v>
      </c>
      <c r="E24" s="73">
        <f t="shared" si="3"/>
        <v>0</v>
      </c>
      <c r="F24" s="90"/>
      <c r="G24" s="73">
        <f t="shared" si="0"/>
        <v>0</v>
      </c>
    </row>
    <row r="25" spans="1:7" x14ac:dyDescent="0.3">
      <c r="A25" s="5">
        <v>43941</v>
      </c>
      <c r="B25" s="90">
        <f t="shared" si="2"/>
        <v>0</v>
      </c>
      <c r="C25" s="73">
        <f t="shared" si="3"/>
        <v>0</v>
      </c>
      <c r="D25" s="73">
        <f t="shared" si="3"/>
        <v>0</v>
      </c>
      <c r="E25" s="73">
        <f t="shared" si="3"/>
        <v>0</v>
      </c>
      <c r="F25" s="90"/>
      <c r="G25" s="73">
        <f t="shared" si="0"/>
        <v>0</v>
      </c>
    </row>
    <row r="26" spans="1:7" x14ac:dyDescent="0.3">
      <c r="A26" s="5">
        <v>43942</v>
      </c>
      <c r="B26" s="90">
        <f t="shared" si="2"/>
        <v>0</v>
      </c>
      <c r="C26" s="73">
        <f t="shared" si="3"/>
        <v>0</v>
      </c>
      <c r="D26" s="73">
        <f t="shared" si="3"/>
        <v>0</v>
      </c>
      <c r="E26" s="73">
        <f t="shared" si="3"/>
        <v>0</v>
      </c>
      <c r="F26" s="90"/>
      <c r="G26" s="73">
        <f t="shared" si="0"/>
        <v>0</v>
      </c>
    </row>
    <row r="27" spans="1:7" x14ac:dyDescent="0.3">
      <c r="A27" s="5">
        <v>43943</v>
      </c>
      <c r="B27" s="90">
        <f t="shared" si="2"/>
        <v>0</v>
      </c>
      <c r="C27" s="73">
        <f t="shared" si="3"/>
        <v>0</v>
      </c>
      <c r="D27" s="73">
        <f t="shared" si="3"/>
        <v>0</v>
      </c>
      <c r="E27" s="73">
        <f t="shared" si="3"/>
        <v>0</v>
      </c>
      <c r="F27" s="90"/>
      <c r="G27" s="73">
        <f t="shared" si="0"/>
        <v>0</v>
      </c>
    </row>
    <row r="28" spans="1:7" x14ac:dyDescent="0.3">
      <c r="A28" s="5">
        <v>43944</v>
      </c>
      <c r="B28" s="90">
        <f t="shared" si="2"/>
        <v>0</v>
      </c>
      <c r="C28" s="73">
        <f t="shared" si="3"/>
        <v>0</v>
      </c>
      <c r="D28" s="73">
        <f t="shared" si="3"/>
        <v>0</v>
      </c>
      <c r="E28" s="73">
        <f t="shared" si="3"/>
        <v>0</v>
      </c>
      <c r="F28" s="90"/>
      <c r="G28" s="73">
        <f t="shared" si="0"/>
        <v>0</v>
      </c>
    </row>
    <row r="29" spans="1:7" x14ac:dyDescent="0.3">
      <c r="A29" s="5">
        <v>43945</v>
      </c>
      <c r="B29" s="90">
        <f t="shared" si="2"/>
        <v>0</v>
      </c>
      <c r="C29" s="73">
        <f t="shared" si="3"/>
        <v>0</v>
      </c>
      <c r="D29" s="73">
        <f t="shared" si="3"/>
        <v>0</v>
      </c>
      <c r="E29" s="73">
        <f t="shared" si="3"/>
        <v>0</v>
      </c>
      <c r="F29" s="90"/>
      <c r="G29" s="73">
        <f t="shared" si="0"/>
        <v>0</v>
      </c>
    </row>
    <row r="30" spans="1:7" x14ac:dyDescent="0.3">
      <c r="A30" s="5">
        <v>43946</v>
      </c>
      <c r="B30" s="90">
        <f t="shared" si="2"/>
        <v>0</v>
      </c>
      <c r="C30" s="73">
        <f t="shared" si="3"/>
        <v>0</v>
      </c>
      <c r="D30" s="73">
        <f t="shared" si="3"/>
        <v>0</v>
      </c>
      <c r="E30" s="73">
        <f t="shared" si="3"/>
        <v>0</v>
      </c>
      <c r="F30" s="90"/>
      <c r="G30" s="73">
        <f t="shared" si="0"/>
        <v>0</v>
      </c>
    </row>
    <row r="31" spans="1:7" x14ac:dyDescent="0.3">
      <c r="A31" s="5">
        <v>43947</v>
      </c>
      <c r="B31" s="90">
        <f t="shared" si="2"/>
        <v>0</v>
      </c>
      <c r="C31" s="73">
        <f t="shared" si="3"/>
        <v>0</v>
      </c>
      <c r="D31" s="73">
        <f t="shared" si="3"/>
        <v>0</v>
      </c>
      <c r="E31" s="73">
        <f t="shared" si="3"/>
        <v>0</v>
      </c>
      <c r="F31" s="90"/>
      <c r="G31" s="73">
        <f t="shared" si="0"/>
        <v>0</v>
      </c>
    </row>
    <row r="32" spans="1:7" x14ac:dyDescent="0.3">
      <c r="A32" s="5">
        <v>43948</v>
      </c>
      <c r="B32" s="90">
        <f t="shared" si="2"/>
        <v>0</v>
      </c>
      <c r="C32" s="73">
        <f t="shared" si="3"/>
        <v>0</v>
      </c>
      <c r="D32" s="73">
        <f t="shared" si="3"/>
        <v>0</v>
      </c>
      <c r="E32" s="73">
        <f t="shared" si="3"/>
        <v>0</v>
      </c>
      <c r="F32" s="90"/>
      <c r="G32" s="73">
        <f t="shared" si="0"/>
        <v>0</v>
      </c>
    </row>
    <row r="33" spans="1:7" x14ac:dyDescent="0.3">
      <c r="A33" s="5">
        <v>43949</v>
      </c>
      <c r="B33" s="90">
        <f t="shared" si="2"/>
        <v>0</v>
      </c>
      <c r="C33" s="73">
        <f t="shared" si="3"/>
        <v>0</v>
      </c>
      <c r="D33" s="73">
        <f t="shared" si="3"/>
        <v>0</v>
      </c>
      <c r="E33" s="73">
        <f t="shared" si="3"/>
        <v>0</v>
      </c>
      <c r="F33" s="90"/>
      <c r="G33" s="73">
        <f t="shared" si="0"/>
        <v>0</v>
      </c>
    </row>
    <row r="34" spans="1:7" x14ac:dyDescent="0.3">
      <c r="A34" s="5">
        <v>43950</v>
      </c>
      <c r="B34" s="90">
        <f t="shared" si="2"/>
        <v>0</v>
      </c>
      <c r="C34" s="73">
        <f t="shared" si="3"/>
        <v>0</v>
      </c>
      <c r="D34" s="73">
        <f t="shared" si="3"/>
        <v>0</v>
      </c>
      <c r="E34" s="73">
        <f t="shared" si="3"/>
        <v>0</v>
      </c>
      <c r="F34" s="90"/>
      <c r="G34" s="73">
        <f t="shared" si="0"/>
        <v>0</v>
      </c>
    </row>
    <row r="35" spans="1:7" x14ac:dyDescent="0.3">
      <c r="A35" s="5">
        <v>43951</v>
      </c>
      <c r="B35" s="90"/>
      <c r="C35" s="90"/>
      <c r="D35" s="90"/>
      <c r="E35" s="90"/>
      <c r="F35" s="90"/>
      <c r="G35" s="73">
        <f t="shared" si="0"/>
        <v>0</v>
      </c>
    </row>
    <row r="36" spans="1:7" x14ac:dyDescent="0.3">
      <c r="A36" s="212"/>
      <c r="B36" s="213"/>
      <c r="C36" s="213"/>
      <c r="D36" s="213"/>
      <c r="E36" s="213"/>
      <c r="F36" s="90"/>
      <c r="G36" s="213"/>
    </row>
    <row r="37" spans="1:7" x14ac:dyDescent="0.3">
      <c r="A37" s="129"/>
    </row>
    <row r="38" spans="1:7" ht="15.6" customHeight="1" x14ac:dyDescent="0.3">
      <c r="A38" s="831" t="s">
        <v>4</v>
      </c>
      <c r="B38" s="832">
        <f>B4</f>
        <v>0</v>
      </c>
      <c r="C38" s="127">
        <f t="shared" ref="C38:E39" si="4">C4</f>
        <v>0</v>
      </c>
      <c r="D38" s="127">
        <f t="shared" si="4"/>
        <v>0</v>
      </c>
      <c r="E38" s="127">
        <f t="shared" si="4"/>
        <v>0</v>
      </c>
      <c r="F38" s="191"/>
      <c r="G38" s="834" t="s">
        <v>0</v>
      </c>
    </row>
    <row r="39" spans="1:7" ht="25.8" customHeight="1" x14ac:dyDescent="0.3">
      <c r="A39" s="831"/>
      <c r="B39" s="833"/>
      <c r="C39" s="128">
        <f t="shared" si="4"/>
        <v>0</v>
      </c>
      <c r="D39" s="128">
        <f t="shared" si="4"/>
        <v>0</v>
      </c>
      <c r="E39" s="128">
        <f t="shared" si="4"/>
        <v>0</v>
      </c>
      <c r="F39" s="192"/>
      <c r="G39" s="835"/>
    </row>
    <row r="40" spans="1:7" x14ac:dyDescent="0.3">
      <c r="A40" s="130" t="s">
        <v>58</v>
      </c>
      <c r="B40" s="182">
        <v>156.6267</v>
      </c>
      <c r="C40" s="131"/>
      <c r="D40" s="131"/>
      <c r="E40" s="131"/>
      <c r="F40" s="193"/>
      <c r="G40" s="131"/>
    </row>
    <row r="41" spans="1:7" x14ac:dyDescent="0.3">
      <c r="A41" s="5">
        <f t="shared" ref="A41:A70" si="5">A6</f>
        <v>43922</v>
      </c>
      <c r="B41" s="132">
        <f t="shared" ref="B41:E56" si="6">B6*B$40</f>
        <v>0</v>
      </c>
      <c r="C41" s="132">
        <f t="shared" si="6"/>
        <v>0</v>
      </c>
      <c r="D41" s="132">
        <f t="shared" si="6"/>
        <v>0</v>
      </c>
      <c r="E41" s="132">
        <f t="shared" si="6"/>
        <v>0</v>
      </c>
      <c r="F41" s="194"/>
      <c r="G41" s="73">
        <f t="shared" ref="G41:G70" si="7">SUM(B41:E41)</f>
        <v>0</v>
      </c>
    </row>
    <row r="42" spans="1:7" x14ac:dyDescent="0.3">
      <c r="A42" s="5">
        <f t="shared" si="5"/>
        <v>43923</v>
      </c>
      <c r="B42" s="132">
        <f t="shared" si="6"/>
        <v>0</v>
      </c>
      <c r="C42" s="132">
        <f t="shared" si="6"/>
        <v>0</v>
      </c>
      <c r="D42" s="132">
        <f t="shared" si="6"/>
        <v>0</v>
      </c>
      <c r="E42" s="132">
        <f t="shared" si="6"/>
        <v>0</v>
      </c>
      <c r="F42" s="194"/>
      <c r="G42" s="73">
        <f t="shared" si="7"/>
        <v>0</v>
      </c>
    </row>
    <row r="43" spans="1:7" x14ac:dyDescent="0.3">
      <c r="A43" s="5">
        <f t="shared" si="5"/>
        <v>43924</v>
      </c>
      <c r="B43" s="132">
        <f t="shared" si="6"/>
        <v>0</v>
      </c>
      <c r="C43" s="132">
        <f t="shared" si="6"/>
        <v>0</v>
      </c>
      <c r="D43" s="132">
        <f t="shared" si="6"/>
        <v>0</v>
      </c>
      <c r="E43" s="132">
        <f t="shared" si="6"/>
        <v>0</v>
      </c>
      <c r="F43" s="194"/>
      <c r="G43" s="73">
        <f t="shared" si="7"/>
        <v>0</v>
      </c>
    </row>
    <row r="44" spans="1:7" x14ac:dyDescent="0.3">
      <c r="A44" s="5">
        <f t="shared" si="5"/>
        <v>43925</v>
      </c>
      <c r="B44" s="132">
        <f t="shared" si="6"/>
        <v>0</v>
      </c>
      <c r="C44" s="132">
        <f t="shared" si="6"/>
        <v>0</v>
      </c>
      <c r="D44" s="132">
        <f t="shared" si="6"/>
        <v>0</v>
      </c>
      <c r="E44" s="132">
        <f t="shared" si="6"/>
        <v>0</v>
      </c>
      <c r="F44" s="194"/>
      <c r="G44" s="73">
        <f t="shared" si="7"/>
        <v>0</v>
      </c>
    </row>
    <row r="45" spans="1:7" x14ac:dyDescent="0.3">
      <c r="A45" s="5">
        <f t="shared" si="5"/>
        <v>43926</v>
      </c>
      <c r="B45" s="132">
        <f t="shared" si="6"/>
        <v>0</v>
      </c>
      <c r="C45" s="132">
        <f t="shared" si="6"/>
        <v>0</v>
      </c>
      <c r="D45" s="132">
        <f t="shared" si="6"/>
        <v>0</v>
      </c>
      <c r="E45" s="132">
        <f t="shared" si="6"/>
        <v>0</v>
      </c>
      <c r="F45" s="194"/>
      <c r="G45" s="73">
        <f t="shared" si="7"/>
        <v>0</v>
      </c>
    </row>
    <row r="46" spans="1:7" x14ac:dyDescent="0.3">
      <c r="A46" s="5">
        <f t="shared" si="5"/>
        <v>43927</v>
      </c>
      <c r="B46" s="132">
        <f t="shared" si="6"/>
        <v>0</v>
      </c>
      <c r="C46" s="132">
        <f t="shared" si="6"/>
        <v>0</v>
      </c>
      <c r="D46" s="132">
        <f t="shared" si="6"/>
        <v>0</v>
      </c>
      <c r="E46" s="132">
        <f t="shared" si="6"/>
        <v>0</v>
      </c>
      <c r="F46" s="194"/>
      <c r="G46" s="73">
        <f t="shared" si="7"/>
        <v>0</v>
      </c>
    </row>
    <row r="47" spans="1:7" x14ac:dyDescent="0.3">
      <c r="A47" s="5">
        <f t="shared" si="5"/>
        <v>43928</v>
      </c>
      <c r="B47" s="132">
        <f t="shared" si="6"/>
        <v>0</v>
      </c>
      <c r="C47" s="132">
        <f t="shared" si="6"/>
        <v>0</v>
      </c>
      <c r="D47" s="132">
        <f t="shared" si="6"/>
        <v>0</v>
      </c>
      <c r="E47" s="132">
        <f t="shared" si="6"/>
        <v>0</v>
      </c>
      <c r="F47" s="194"/>
      <c r="G47" s="73">
        <f t="shared" si="7"/>
        <v>0</v>
      </c>
    </row>
    <row r="48" spans="1:7" x14ac:dyDescent="0.3">
      <c r="A48" s="5">
        <f t="shared" si="5"/>
        <v>43929</v>
      </c>
      <c r="B48" s="132">
        <f t="shared" si="6"/>
        <v>0</v>
      </c>
      <c r="C48" s="132">
        <f t="shared" si="6"/>
        <v>0</v>
      </c>
      <c r="D48" s="132">
        <f t="shared" si="6"/>
        <v>0</v>
      </c>
      <c r="E48" s="132">
        <f t="shared" si="6"/>
        <v>0</v>
      </c>
      <c r="F48" s="194"/>
      <c r="G48" s="73">
        <f t="shared" si="7"/>
        <v>0</v>
      </c>
    </row>
    <row r="49" spans="1:7" x14ac:dyDescent="0.3">
      <c r="A49" s="5">
        <f t="shared" si="5"/>
        <v>43930</v>
      </c>
      <c r="B49" s="132">
        <f t="shared" si="6"/>
        <v>0</v>
      </c>
      <c r="C49" s="132">
        <f t="shared" si="6"/>
        <v>0</v>
      </c>
      <c r="D49" s="132">
        <f t="shared" si="6"/>
        <v>0</v>
      </c>
      <c r="E49" s="132">
        <f t="shared" si="6"/>
        <v>0</v>
      </c>
      <c r="F49" s="194"/>
      <c r="G49" s="73">
        <f t="shared" si="7"/>
        <v>0</v>
      </c>
    </row>
    <row r="50" spans="1:7" x14ac:dyDescent="0.3">
      <c r="A50" s="5">
        <f t="shared" si="5"/>
        <v>43931</v>
      </c>
      <c r="B50" s="132">
        <f t="shared" si="6"/>
        <v>0</v>
      </c>
      <c r="C50" s="132">
        <f t="shared" si="6"/>
        <v>0</v>
      </c>
      <c r="D50" s="132">
        <f t="shared" si="6"/>
        <v>0</v>
      </c>
      <c r="E50" s="132">
        <f t="shared" si="6"/>
        <v>0</v>
      </c>
      <c r="F50" s="194"/>
      <c r="G50" s="73">
        <f t="shared" si="7"/>
        <v>0</v>
      </c>
    </row>
    <row r="51" spans="1:7" x14ac:dyDescent="0.3">
      <c r="A51" s="5">
        <f t="shared" si="5"/>
        <v>43932</v>
      </c>
      <c r="B51" s="132">
        <f t="shared" si="6"/>
        <v>0</v>
      </c>
      <c r="C51" s="132">
        <f t="shared" si="6"/>
        <v>0</v>
      </c>
      <c r="D51" s="132">
        <f t="shared" si="6"/>
        <v>0</v>
      </c>
      <c r="E51" s="132">
        <f t="shared" si="6"/>
        <v>0</v>
      </c>
      <c r="F51" s="194"/>
      <c r="G51" s="73">
        <f t="shared" si="7"/>
        <v>0</v>
      </c>
    </row>
    <row r="52" spans="1:7" x14ac:dyDescent="0.3">
      <c r="A52" s="5">
        <f t="shared" si="5"/>
        <v>43933</v>
      </c>
      <c r="B52" s="132">
        <f t="shared" si="6"/>
        <v>0</v>
      </c>
      <c r="C52" s="132">
        <f t="shared" si="6"/>
        <v>0</v>
      </c>
      <c r="D52" s="132">
        <f t="shared" si="6"/>
        <v>0</v>
      </c>
      <c r="E52" s="132">
        <f t="shared" si="6"/>
        <v>0</v>
      </c>
      <c r="F52" s="194"/>
      <c r="G52" s="73">
        <f t="shared" si="7"/>
        <v>0</v>
      </c>
    </row>
    <row r="53" spans="1:7" x14ac:dyDescent="0.3">
      <c r="A53" s="5">
        <f t="shared" si="5"/>
        <v>43934</v>
      </c>
      <c r="B53" s="132">
        <f t="shared" si="6"/>
        <v>0</v>
      </c>
      <c r="C53" s="132">
        <f t="shared" si="6"/>
        <v>0</v>
      </c>
      <c r="D53" s="132">
        <f t="shared" si="6"/>
        <v>0</v>
      </c>
      <c r="E53" s="132">
        <f t="shared" si="6"/>
        <v>0</v>
      </c>
      <c r="F53" s="194"/>
      <c r="G53" s="73">
        <f t="shared" si="7"/>
        <v>0</v>
      </c>
    </row>
    <row r="54" spans="1:7" x14ac:dyDescent="0.3">
      <c r="A54" s="5">
        <f t="shared" si="5"/>
        <v>43935</v>
      </c>
      <c r="B54" s="132">
        <f t="shared" si="6"/>
        <v>0</v>
      </c>
      <c r="C54" s="132">
        <f t="shared" si="6"/>
        <v>0</v>
      </c>
      <c r="D54" s="132">
        <f t="shared" si="6"/>
        <v>0</v>
      </c>
      <c r="E54" s="132">
        <f t="shared" si="6"/>
        <v>0</v>
      </c>
      <c r="F54" s="194"/>
      <c r="G54" s="73">
        <f t="shared" si="7"/>
        <v>0</v>
      </c>
    </row>
    <row r="55" spans="1:7" x14ac:dyDescent="0.3">
      <c r="A55" s="5">
        <f t="shared" si="5"/>
        <v>43936</v>
      </c>
      <c r="B55" s="132">
        <f t="shared" si="6"/>
        <v>0</v>
      </c>
      <c r="C55" s="132">
        <f t="shared" si="6"/>
        <v>0</v>
      </c>
      <c r="D55" s="132">
        <f t="shared" si="6"/>
        <v>0</v>
      </c>
      <c r="E55" s="132">
        <f t="shared" si="6"/>
        <v>0</v>
      </c>
      <c r="F55" s="194"/>
      <c r="G55" s="73">
        <f t="shared" si="7"/>
        <v>0</v>
      </c>
    </row>
    <row r="56" spans="1:7" x14ac:dyDescent="0.3">
      <c r="A56" s="5">
        <f t="shared" si="5"/>
        <v>43937</v>
      </c>
      <c r="B56" s="132">
        <f t="shared" si="6"/>
        <v>0</v>
      </c>
      <c r="C56" s="132">
        <f t="shared" si="6"/>
        <v>0</v>
      </c>
      <c r="D56" s="132">
        <f t="shared" si="6"/>
        <v>0</v>
      </c>
      <c r="E56" s="132">
        <f t="shared" si="6"/>
        <v>0</v>
      </c>
      <c r="F56" s="194"/>
      <c r="G56" s="73">
        <f t="shared" si="7"/>
        <v>0</v>
      </c>
    </row>
    <row r="57" spans="1:7" x14ac:dyDescent="0.3">
      <c r="A57" s="5">
        <f t="shared" si="5"/>
        <v>43938</v>
      </c>
      <c r="B57" s="132">
        <f t="shared" ref="B57:E69" si="8">B22*B$40</f>
        <v>0</v>
      </c>
      <c r="C57" s="132">
        <f t="shared" si="8"/>
        <v>0</v>
      </c>
      <c r="D57" s="132">
        <f t="shared" si="8"/>
        <v>0</v>
      </c>
      <c r="E57" s="132">
        <f t="shared" si="8"/>
        <v>0</v>
      </c>
      <c r="F57" s="194"/>
      <c r="G57" s="73">
        <f t="shared" si="7"/>
        <v>0</v>
      </c>
    </row>
    <row r="58" spans="1:7" x14ac:dyDescent="0.3">
      <c r="A58" s="5">
        <f t="shared" si="5"/>
        <v>43939</v>
      </c>
      <c r="B58" s="132">
        <f t="shared" si="8"/>
        <v>0</v>
      </c>
      <c r="C58" s="132">
        <f t="shared" si="8"/>
        <v>0</v>
      </c>
      <c r="D58" s="132">
        <f t="shared" si="8"/>
        <v>0</v>
      </c>
      <c r="E58" s="132">
        <f t="shared" si="8"/>
        <v>0</v>
      </c>
      <c r="F58" s="194"/>
      <c r="G58" s="73">
        <f t="shared" si="7"/>
        <v>0</v>
      </c>
    </row>
    <row r="59" spans="1:7" x14ac:dyDescent="0.3">
      <c r="A59" s="5">
        <f t="shared" si="5"/>
        <v>43940</v>
      </c>
      <c r="B59" s="132">
        <f t="shared" si="8"/>
        <v>0</v>
      </c>
      <c r="C59" s="132">
        <f t="shared" si="8"/>
        <v>0</v>
      </c>
      <c r="D59" s="132">
        <f t="shared" si="8"/>
        <v>0</v>
      </c>
      <c r="E59" s="132">
        <f t="shared" si="8"/>
        <v>0</v>
      </c>
      <c r="F59" s="194"/>
      <c r="G59" s="73">
        <f t="shared" si="7"/>
        <v>0</v>
      </c>
    </row>
    <row r="60" spans="1:7" x14ac:dyDescent="0.3">
      <c r="A60" s="5">
        <f t="shared" si="5"/>
        <v>43941</v>
      </c>
      <c r="B60" s="132">
        <f t="shared" si="8"/>
        <v>0</v>
      </c>
      <c r="C60" s="132">
        <f t="shared" si="8"/>
        <v>0</v>
      </c>
      <c r="D60" s="132">
        <f t="shared" si="8"/>
        <v>0</v>
      </c>
      <c r="E60" s="132">
        <f t="shared" si="8"/>
        <v>0</v>
      </c>
      <c r="F60" s="194"/>
      <c r="G60" s="73">
        <f t="shared" si="7"/>
        <v>0</v>
      </c>
    </row>
    <row r="61" spans="1:7" x14ac:dyDescent="0.3">
      <c r="A61" s="5">
        <f t="shared" si="5"/>
        <v>43942</v>
      </c>
      <c r="B61" s="132">
        <f t="shared" si="8"/>
        <v>0</v>
      </c>
      <c r="C61" s="132">
        <f t="shared" si="8"/>
        <v>0</v>
      </c>
      <c r="D61" s="132">
        <f t="shared" si="8"/>
        <v>0</v>
      </c>
      <c r="E61" s="132">
        <f t="shared" si="8"/>
        <v>0</v>
      </c>
      <c r="F61" s="194"/>
      <c r="G61" s="73">
        <f t="shared" si="7"/>
        <v>0</v>
      </c>
    </row>
    <row r="62" spans="1:7" x14ac:dyDescent="0.3">
      <c r="A62" s="5">
        <f t="shared" si="5"/>
        <v>43943</v>
      </c>
      <c r="B62" s="132">
        <f t="shared" si="8"/>
        <v>0</v>
      </c>
      <c r="C62" s="132">
        <f t="shared" si="8"/>
        <v>0</v>
      </c>
      <c r="D62" s="132">
        <f t="shared" si="8"/>
        <v>0</v>
      </c>
      <c r="E62" s="132">
        <f t="shared" si="8"/>
        <v>0</v>
      </c>
      <c r="F62" s="194"/>
      <c r="G62" s="73">
        <f t="shared" si="7"/>
        <v>0</v>
      </c>
    </row>
    <row r="63" spans="1:7" x14ac:dyDescent="0.3">
      <c r="A63" s="5">
        <f t="shared" si="5"/>
        <v>43944</v>
      </c>
      <c r="B63" s="132">
        <f t="shared" si="8"/>
        <v>0</v>
      </c>
      <c r="C63" s="132">
        <f t="shared" si="8"/>
        <v>0</v>
      </c>
      <c r="D63" s="132">
        <f t="shared" si="8"/>
        <v>0</v>
      </c>
      <c r="E63" s="132">
        <f t="shared" si="8"/>
        <v>0</v>
      </c>
      <c r="F63" s="194"/>
      <c r="G63" s="73">
        <f t="shared" si="7"/>
        <v>0</v>
      </c>
    </row>
    <row r="64" spans="1:7" x14ac:dyDescent="0.3">
      <c r="A64" s="5">
        <f t="shared" si="5"/>
        <v>43945</v>
      </c>
      <c r="B64" s="132">
        <f t="shared" si="8"/>
        <v>0</v>
      </c>
      <c r="C64" s="132">
        <f t="shared" si="8"/>
        <v>0</v>
      </c>
      <c r="D64" s="132">
        <f t="shared" si="8"/>
        <v>0</v>
      </c>
      <c r="E64" s="132">
        <f t="shared" si="8"/>
        <v>0</v>
      </c>
      <c r="F64" s="194"/>
      <c r="G64" s="73">
        <f t="shared" si="7"/>
        <v>0</v>
      </c>
    </row>
    <row r="65" spans="1:7" x14ac:dyDescent="0.3">
      <c r="A65" s="5">
        <f t="shared" si="5"/>
        <v>43946</v>
      </c>
      <c r="B65" s="132">
        <f t="shared" si="8"/>
        <v>0</v>
      </c>
      <c r="C65" s="132">
        <f t="shared" si="8"/>
        <v>0</v>
      </c>
      <c r="D65" s="132">
        <f t="shared" si="8"/>
        <v>0</v>
      </c>
      <c r="E65" s="132">
        <f t="shared" si="8"/>
        <v>0</v>
      </c>
      <c r="F65" s="194"/>
      <c r="G65" s="73">
        <f t="shared" si="7"/>
        <v>0</v>
      </c>
    </row>
    <row r="66" spans="1:7" x14ac:dyDescent="0.3">
      <c r="A66" s="5">
        <f t="shared" si="5"/>
        <v>43947</v>
      </c>
      <c r="B66" s="132">
        <f t="shared" si="8"/>
        <v>0</v>
      </c>
      <c r="C66" s="132">
        <f t="shared" si="8"/>
        <v>0</v>
      </c>
      <c r="D66" s="132">
        <f t="shared" si="8"/>
        <v>0</v>
      </c>
      <c r="E66" s="132">
        <f t="shared" si="8"/>
        <v>0</v>
      </c>
      <c r="F66" s="194"/>
      <c r="G66" s="73">
        <f t="shared" si="7"/>
        <v>0</v>
      </c>
    </row>
    <row r="67" spans="1:7" x14ac:dyDescent="0.3">
      <c r="A67" s="5">
        <f t="shared" si="5"/>
        <v>43948</v>
      </c>
      <c r="B67" s="132">
        <f t="shared" si="8"/>
        <v>0</v>
      </c>
      <c r="C67" s="132">
        <f t="shared" si="8"/>
        <v>0</v>
      </c>
      <c r="D67" s="132">
        <f t="shared" si="8"/>
        <v>0</v>
      </c>
      <c r="E67" s="132">
        <f t="shared" si="8"/>
        <v>0</v>
      </c>
      <c r="F67" s="194"/>
      <c r="G67" s="73">
        <f t="shared" si="7"/>
        <v>0</v>
      </c>
    </row>
    <row r="68" spans="1:7" x14ac:dyDescent="0.3">
      <c r="A68" s="5">
        <f t="shared" si="5"/>
        <v>43949</v>
      </c>
      <c r="B68" s="132">
        <f t="shared" si="8"/>
        <v>0</v>
      </c>
      <c r="C68" s="132">
        <f t="shared" si="8"/>
        <v>0</v>
      </c>
      <c r="D68" s="132">
        <f t="shared" si="8"/>
        <v>0</v>
      </c>
      <c r="E68" s="132">
        <f t="shared" si="8"/>
        <v>0</v>
      </c>
      <c r="F68" s="194"/>
      <c r="G68" s="73">
        <f t="shared" si="7"/>
        <v>0</v>
      </c>
    </row>
    <row r="69" spans="1:7" x14ac:dyDescent="0.3">
      <c r="A69" s="5">
        <f t="shared" si="5"/>
        <v>43950</v>
      </c>
      <c r="B69" s="132">
        <f t="shared" si="8"/>
        <v>0</v>
      </c>
      <c r="C69" s="132">
        <f t="shared" si="8"/>
        <v>0</v>
      </c>
      <c r="D69" s="132">
        <f t="shared" si="8"/>
        <v>0</v>
      </c>
      <c r="E69" s="132">
        <f t="shared" si="8"/>
        <v>0</v>
      </c>
      <c r="F69" s="194"/>
      <c r="G69" s="73">
        <f t="shared" si="7"/>
        <v>0</v>
      </c>
    </row>
    <row r="70" spans="1:7" x14ac:dyDescent="0.3">
      <c r="A70" s="5">
        <f t="shared" si="5"/>
        <v>43951</v>
      </c>
      <c r="B70" s="132">
        <f>B35*B$40</f>
        <v>0</v>
      </c>
      <c r="C70" s="132">
        <f>C35*C$40</f>
        <v>0</v>
      </c>
      <c r="D70" s="132">
        <f>D35*D$40</f>
        <v>0</v>
      </c>
      <c r="E70" s="132">
        <f>E35*E$40</f>
        <v>0</v>
      </c>
      <c r="F70" s="194"/>
      <c r="G70" s="73">
        <f t="shared" si="7"/>
        <v>0</v>
      </c>
    </row>
    <row r="71" spans="1:7" x14ac:dyDescent="0.3">
      <c r="A71" s="212"/>
      <c r="B71" s="214"/>
      <c r="C71" s="214"/>
      <c r="D71" s="214"/>
      <c r="E71" s="214"/>
      <c r="F71" s="194"/>
      <c r="G71" s="213"/>
    </row>
    <row r="72" spans="1:7" x14ac:dyDescent="0.3">
      <c r="A72" s="125" t="s">
        <v>59</v>
      </c>
    </row>
    <row r="73" spans="1:7" ht="15.6" customHeight="1" x14ac:dyDescent="0.3">
      <c r="A73" s="837" t="s">
        <v>4</v>
      </c>
      <c r="B73" s="834">
        <f>B4</f>
        <v>0</v>
      </c>
      <c r="C73" s="127">
        <f t="shared" ref="C73:E74" si="9">C4</f>
        <v>0</v>
      </c>
      <c r="D73" s="127">
        <f t="shared" si="9"/>
        <v>0</v>
      </c>
      <c r="E73" s="127">
        <f t="shared" si="9"/>
        <v>0</v>
      </c>
      <c r="F73" s="191"/>
      <c r="G73" s="834" t="s">
        <v>0</v>
      </c>
    </row>
    <row r="74" spans="1:7" ht="24.6" customHeight="1" x14ac:dyDescent="0.3">
      <c r="A74" s="838"/>
      <c r="B74" s="835"/>
      <c r="C74" s="128">
        <f t="shared" si="9"/>
        <v>0</v>
      </c>
      <c r="D74" s="128">
        <f t="shared" si="9"/>
        <v>0</v>
      </c>
      <c r="E74" s="128">
        <f t="shared" si="9"/>
        <v>0</v>
      </c>
      <c r="F74" s="192"/>
      <c r="G74" s="835"/>
    </row>
    <row r="75" spans="1:7" x14ac:dyDescent="0.3">
      <c r="A75" s="130" t="s">
        <v>60</v>
      </c>
      <c r="B75" s="183"/>
      <c r="C75" s="133"/>
      <c r="D75" s="133"/>
      <c r="E75" s="133"/>
      <c r="F75" s="195"/>
      <c r="G75" s="131"/>
    </row>
    <row r="76" spans="1:7" x14ac:dyDescent="0.3">
      <c r="A76" s="5">
        <f t="shared" ref="A76:A105" si="10">A41</f>
        <v>43922</v>
      </c>
      <c r="B76" s="132">
        <f>IF(B6&lt;0,0,B6*B$75/366)</f>
        <v>0</v>
      </c>
      <c r="C76" s="132">
        <f>IF(C6&lt;0,0,C6*C$75/366)</f>
        <v>0</v>
      </c>
      <c r="D76" s="132">
        <f>IF(D6&lt;0,0,D6*D$75/366)</f>
        <v>0</v>
      </c>
      <c r="E76" s="132">
        <f>IF(E6&lt;0,0,E6*E$75/366)</f>
        <v>0</v>
      </c>
      <c r="F76" s="194"/>
      <c r="G76" s="73">
        <f t="shared" ref="G76:G105" si="11">SUM(B76:E76)</f>
        <v>0</v>
      </c>
    </row>
    <row r="77" spans="1:7" x14ac:dyDescent="0.3">
      <c r="A77" s="5">
        <f t="shared" si="10"/>
        <v>43923</v>
      </c>
      <c r="B77" s="132">
        <f t="shared" ref="B77:E104" si="12">IF(B7&lt;0,0,B7*B$75/366)</f>
        <v>0</v>
      </c>
      <c r="C77" s="132">
        <f t="shared" si="12"/>
        <v>0</v>
      </c>
      <c r="D77" s="132">
        <f t="shared" si="12"/>
        <v>0</v>
      </c>
      <c r="E77" s="132">
        <f t="shared" si="12"/>
        <v>0</v>
      </c>
      <c r="F77" s="194"/>
      <c r="G77" s="73">
        <f t="shared" si="11"/>
        <v>0</v>
      </c>
    </row>
    <row r="78" spans="1:7" x14ac:dyDescent="0.3">
      <c r="A78" s="5">
        <f t="shared" si="10"/>
        <v>43924</v>
      </c>
      <c r="B78" s="132">
        <f t="shared" si="12"/>
        <v>0</v>
      </c>
      <c r="C78" s="132">
        <f t="shared" si="12"/>
        <v>0</v>
      </c>
      <c r="D78" s="132">
        <f t="shared" si="12"/>
        <v>0</v>
      </c>
      <c r="E78" s="132">
        <f t="shared" si="12"/>
        <v>0</v>
      </c>
      <c r="F78" s="194"/>
      <c r="G78" s="73">
        <f t="shared" si="11"/>
        <v>0</v>
      </c>
    </row>
    <row r="79" spans="1:7" x14ac:dyDescent="0.3">
      <c r="A79" s="5">
        <f t="shared" si="10"/>
        <v>43925</v>
      </c>
      <c r="B79" s="132">
        <f t="shared" si="12"/>
        <v>0</v>
      </c>
      <c r="C79" s="132">
        <f t="shared" si="12"/>
        <v>0</v>
      </c>
      <c r="D79" s="132">
        <f t="shared" si="12"/>
        <v>0</v>
      </c>
      <c r="E79" s="132">
        <f t="shared" si="12"/>
        <v>0</v>
      </c>
      <c r="F79" s="194"/>
      <c r="G79" s="73">
        <f t="shared" si="11"/>
        <v>0</v>
      </c>
    </row>
    <row r="80" spans="1:7" x14ac:dyDescent="0.3">
      <c r="A80" s="5">
        <f t="shared" si="10"/>
        <v>43926</v>
      </c>
      <c r="B80" s="132">
        <f t="shared" si="12"/>
        <v>0</v>
      </c>
      <c r="C80" s="132">
        <f t="shared" si="12"/>
        <v>0</v>
      </c>
      <c r="D80" s="132">
        <f t="shared" si="12"/>
        <v>0</v>
      </c>
      <c r="E80" s="132">
        <f t="shared" si="12"/>
        <v>0</v>
      </c>
      <c r="F80" s="194"/>
      <c r="G80" s="73">
        <f t="shared" si="11"/>
        <v>0</v>
      </c>
    </row>
    <row r="81" spans="1:7" x14ac:dyDescent="0.3">
      <c r="A81" s="5">
        <f t="shared" si="10"/>
        <v>43927</v>
      </c>
      <c r="B81" s="132">
        <f t="shared" si="12"/>
        <v>0</v>
      </c>
      <c r="C81" s="132">
        <f t="shared" si="12"/>
        <v>0</v>
      </c>
      <c r="D81" s="132">
        <f t="shared" si="12"/>
        <v>0</v>
      </c>
      <c r="E81" s="132">
        <f t="shared" si="12"/>
        <v>0</v>
      </c>
      <c r="F81" s="194"/>
      <c r="G81" s="73">
        <f t="shared" si="11"/>
        <v>0</v>
      </c>
    </row>
    <row r="82" spans="1:7" x14ac:dyDescent="0.3">
      <c r="A82" s="5">
        <f t="shared" si="10"/>
        <v>43928</v>
      </c>
      <c r="B82" s="132">
        <f t="shared" si="12"/>
        <v>0</v>
      </c>
      <c r="C82" s="132">
        <f t="shared" si="12"/>
        <v>0</v>
      </c>
      <c r="D82" s="132">
        <f t="shared" si="12"/>
        <v>0</v>
      </c>
      <c r="E82" s="132">
        <f t="shared" si="12"/>
        <v>0</v>
      </c>
      <c r="F82" s="194"/>
      <c r="G82" s="73">
        <f t="shared" si="11"/>
        <v>0</v>
      </c>
    </row>
    <row r="83" spans="1:7" x14ac:dyDescent="0.3">
      <c r="A83" s="5">
        <f t="shared" si="10"/>
        <v>43929</v>
      </c>
      <c r="B83" s="132">
        <f t="shared" si="12"/>
        <v>0</v>
      </c>
      <c r="C83" s="132">
        <f t="shared" si="12"/>
        <v>0</v>
      </c>
      <c r="D83" s="132">
        <f t="shared" si="12"/>
        <v>0</v>
      </c>
      <c r="E83" s="132">
        <f t="shared" si="12"/>
        <v>0</v>
      </c>
      <c r="F83" s="194"/>
      <c r="G83" s="73">
        <f t="shared" si="11"/>
        <v>0</v>
      </c>
    </row>
    <row r="84" spans="1:7" x14ac:dyDescent="0.3">
      <c r="A84" s="5">
        <f t="shared" si="10"/>
        <v>43930</v>
      </c>
      <c r="B84" s="132">
        <f t="shared" si="12"/>
        <v>0</v>
      </c>
      <c r="C84" s="132">
        <f t="shared" si="12"/>
        <v>0</v>
      </c>
      <c r="D84" s="132">
        <f t="shared" si="12"/>
        <v>0</v>
      </c>
      <c r="E84" s="132">
        <f t="shared" si="12"/>
        <v>0</v>
      </c>
      <c r="F84" s="194"/>
      <c r="G84" s="73">
        <f t="shared" si="11"/>
        <v>0</v>
      </c>
    </row>
    <row r="85" spans="1:7" x14ac:dyDescent="0.3">
      <c r="A85" s="5">
        <f t="shared" si="10"/>
        <v>43931</v>
      </c>
      <c r="B85" s="132">
        <f t="shared" si="12"/>
        <v>0</v>
      </c>
      <c r="C85" s="132">
        <f t="shared" si="12"/>
        <v>0</v>
      </c>
      <c r="D85" s="132">
        <f t="shared" si="12"/>
        <v>0</v>
      </c>
      <c r="E85" s="132">
        <f t="shared" si="12"/>
        <v>0</v>
      </c>
      <c r="F85" s="194"/>
      <c r="G85" s="73">
        <f t="shared" si="11"/>
        <v>0</v>
      </c>
    </row>
    <row r="86" spans="1:7" x14ac:dyDescent="0.3">
      <c r="A86" s="5">
        <f t="shared" si="10"/>
        <v>43932</v>
      </c>
      <c r="B86" s="132">
        <f t="shared" si="12"/>
        <v>0</v>
      </c>
      <c r="C86" s="132">
        <f t="shared" si="12"/>
        <v>0</v>
      </c>
      <c r="D86" s="132">
        <f t="shared" si="12"/>
        <v>0</v>
      </c>
      <c r="E86" s="132">
        <f t="shared" si="12"/>
        <v>0</v>
      </c>
      <c r="F86" s="194"/>
      <c r="G86" s="73">
        <f t="shared" si="11"/>
        <v>0</v>
      </c>
    </row>
    <row r="87" spans="1:7" x14ac:dyDescent="0.3">
      <c r="A87" s="5">
        <f t="shared" si="10"/>
        <v>43933</v>
      </c>
      <c r="B87" s="132">
        <f t="shared" si="12"/>
        <v>0</v>
      </c>
      <c r="C87" s="132">
        <f t="shared" si="12"/>
        <v>0</v>
      </c>
      <c r="D87" s="132">
        <f t="shared" si="12"/>
        <v>0</v>
      </c>
      <c r="E87" s="132">
        <f t="shared" si="12"/>
        <v>0</v>
      </c>
      <c r="F87" s="194"/>
      <c r="G87" s="73">
        <f t="shared" si="11"/>
        <v>0</v>
      </c>
    </row>
    <row r="88" spans="1:7" x14ac:dyDescent="0.3">
      <c r="A88" s="5">
        <f t="shared" si="10"/>
        <v>43934</v>
      </c>
      <c r="B88" s="132">
        <f t="shared" si="12"/>
        <v>0</v>
      </c>
      <c r="C88" s="132">
        <f t="shared" si="12"/>
        <v>0</v>
      </c>
      <c r="D88" s="132">
        <f t="shared" si="12"/>
        <v>0</v>
      </c>
      <c r="E88" s="132">
        <f t="shared" si="12"/>
        <v>0</v>
      </c>
      <c r="F88" s="194"/>
      <c r="G88" s="73">
        <f t="shared" si="11"/>
        <v>0</v>
      </c>
    </row>
    <row r="89" spans="1:7" x14ac:dyDescent="0.3">
      <c r="A89" s="5">
        <f t="shared" si="10"/>
        <v>43935</v>
      </c>
      <c r="B89" s="132">
        <f t="shared" si="12"/>
        <v>0</v>
      </c>
      <c r="C89" s="132">
        <f t="shared" si="12"/>
        <v>0</v>
      </c>
      <c r="D89" s="132">
        <f t="shared" si="12"/>
        <v>0</v>
      </c>
      <c r="E89" s="132">
        <f t="shared" si="12"/>
        <v>0</v>
      </c>
      <c r="F89" s="194"/>
      <c r="G89" s="73">
        <f t="shared" si="11"/>
        <v>0</v>
      </c>
    </row>
    <row r="90" spans="1:7" x14ac:dyDescent="0.3">
      <c r="A90" s="5">
        <f t="shared" si="10"/>
        <v>43936</v>
      </c>
      <c r="B90" s="132">
        <f t="shared" si="12"/>
        <v>0</v>
      </c>
      <c r="C90" s="132">
        <f t="shared" si="12"/>
        <v>0</v>
      </c>
      <c r="D90" s="132">
        <f t="shared" si="12"/>
        <v>0</v>
      </c>
      <c r="E90" s="132">
        <f t="shared" si="12"/>
        <v>0</v>
      </c>
      <c r="F90" s="194"/>
      <c r="G90" s="73">
        <f t="shared" si="11"/>
        <v>0</v>
      </c>
    </row>
    <row r="91" spans="1:7" x14ac:dyDescent="0.3">
      <c r="A91" s="5">
        <f t="shared" si="10"/>
        <v>43937</v>
      </c>
      <c r="B91" s="132">
        <f t="shared" si="12"/>
        <v>0</v>
      </c>
      <c r="C91" s="132">
        <f t="shared" si="12"/>
        <v>0</v>
      </c>
      <c r="D91" s="132">
        <f t="shared" si="12"/>
        <v>0</v>
      </c>
      <c r="E91" s="132">
        <f t="shared" si="12"/>
        <v>0</v>
      </c>
      <c r="F91" s="194"/>
      <c r="G91" s="73">
        <f t="shared" si="11"/>
        <v>0</v>
      </c>
    </row>
    <row r="92" spans="1:7" x14ac:dyDescent="0.3">
      <c r="A92" s="5">
        <f t="shared" si="10"/>
        <v>43938</v>
      </c>
      <c r="B92" s="132">
        <f t="shared" si="12"/>
        <v>0</v>
      </c>
      <c r="C92" s="132">
        <f t="shared" si="12"/>
        <v>0</v>
      </c>
      <c r="D92" s="132">
        <f t="shared" si="12"/>
        <v>0</v>
      </c>
      <c r="E92" s="132">
        <f t="shared" si="12"/>
        <v>0</v>
      </c>
      <c r="F92" s="194"/>
      <c r="G92" s="73">
        <f t="shared" si="11"/>
        <v>0</v>
      </c>
    </row>
    <row r="93" spans="1:7" x14ac:dyDescent="0.3">
      <c r="A93" s="5">
        <f t="shared" si="10"/>
        <v>43939</v>
      </c>
      <c r="B93" s="132">
        <f t="shared" si="12"/>
        <v>0</v>
      </c>
      <c r="C93" s="132">
        <f t="shared" si="12"/>
        <v>0</v>
      </c>
      <c r="D93" s="132">
        <f t="shared" si="12"/>
        <v>0</v>
      </c>
      <c r="E93" s="132">
        <f t="shared" si="12"/>
        <v>0</v>
      </c>
      <c r="F93" s="194"/>
      <c r="G93" s="73">
        <f t="shared" si="11"/>
        <v>0</v>
      </c>
    </row>
    <row r="94" spans="1:7" x14ac:dyDescent="0.3">
      <c r="A94" s="5">
        <f t="shared" si="10"/>
        <v>43940</v>
      </c>
      <c r="B94" s="132">
        <f t="shared" si="12"/>
        <v>0</v>
      </c>
      <c r="C94" s="132">
        <f t="shared" si="12"/>
        <v>0</v>
      </c>
      <c r="D94" s="132">
        <f t="shared" si="12"/>
        <v>0</v>
      </c>
      <c r="E94" s="132">
        <f t="shared" si="12"/>
        <v>0</v>
      </c>
      <c r="F94" s="194"/>
      <c r="G94" s="73">
        <f t="shared" si="11"/>
        <v>0</v>
      </c>
    </row>
    <row r="95" spans="1:7" x14ac:dyDescent="0.3">
      <c r="A95" s="5">
        <f t="shared" si="10"/>
        <v>43941</v>
      </c>
      <c r="B95" s="132">
        <f t="shared" si="12"/>
        <v>0</v>
      </c>
      <c r="C95" s="132">
        <f t="shared" si="12"/>
        <v>0</v>
      </c>
      <c r="D95" s="132">
        <f t="shared" si="12"/>
        <v>0</v>
      </c>
      <c r="E95" s="132">
        <f t="shared" si="12"/>
        <v>0</v>
      </c>
      <c r="F95" s="194"/>
      <c r="G95" s="73">
        <f t="shared" si="11"/>
        <v>0</v>
      </c>
    </row>
    <row r="96" spans="1:7" x14ac:dyDescent="0.3">
      <c r="A96" s="5">
        <f t="shared" si="10"/>
        <v>43942</v>
      </c>
      <c r="B96" s="132">
        <f t="shared" si="12"/>
        <v>0</v>
      </c>
      <c r="C96" s="132">
        <f t="shared" si="12"/>
        <v>0</v>
      </c>
      <c r="D96" s="132">
        <f t="shared" si="12"/>
        <v>0</v>
      </c>
      <c r="E96" s="132">
        <f t="shared" si="12"/>
        <v>0</v>
      </c>
      <c r="F96" s="194"/>
      <c r="G96" s="73">
        <f t="shared" si="11"/>
        <v>0</v>
      </c>
    </row>
    <row r="97" spans="1:7" x14ac:dyDescent="0.3">
      <c r="A97" s="5">
        <f t="shared" si="10"/>
        <v>43943</v>
      </c>
      <c r="B97" s="132">
        <f t="shared" si="12"/>
        <v>0</v>
      </c>
      <c r="C97" s="132">
        <f t="shared" si="12"/>
        <v>0</v>
      </c>
      <c r="D97" s="132">
        <f t="shared" si="12"/>
        <v>0</v>
      </c>
      <c r="E97" s="132">
        <f t="shared" si="12"/>
        <v>0</v>
      </c>
      <c r="F97" s="194"/>
      <c r="G97" s="73">
        <f t="shared" si="11"/>
        <v>0</v>
      </c>
    </row>
    <row r="98" spans="1:7" x14ac:dyDescent="0.3">
      <c r="A98" s="5">
        <f t="shared" si="10"/>
        <v>43944</v>
      </c>
      <c r="B98" s="132">
        <f t="shared" si="12"/>
        <v>0</v>
      </c>
      <c r="C98" s="132">
        <f t="shared" si="12"/>
        <v>0</v>
      </c>
      <c r="D98" s="132">
        <f t="shared" si="12"/>
        <v>0</v>
      </c>
      <c r="E98" s="132">
        <f t="shared" si="12"/>
        <v>0</v>
      </c>
      <c r="F98" s="194"/>
      <c r="G98" s="73">
        <f t="shared" si="11"/>
        <v>0</v>
      </c>
    </row>
    <row r="99" spans="1:7" x14ac:dyDescent="0.3">
      <c r="A99" s="5">
        <f t="shared" si="10"/>
        <v>43945</v>
      </c>
      <c r="B99" s="132">
        <f t="shared" si="12"/>
        <v>0</v>
      </c>
      <c r="C99" s="132">
        <f t="shared" si="12"/>
        <v>0</v>
      </c>
      <c r="D99" s="132">
        <f t="shared" si="12"/>
        <v>0</v>
      </c>
      <c r="E99" s="132">
        <f t="shared" si="12"/>
        <v>0</v>
      </c>
      <c r="F99" s="194"/>
      <c r="G99" s="73">
        <f t="shared" si="11"/>
        <v>0</v>
      </c>
    </row>
    <row r="100" spans="1:7" x14ac:dyDescent="0.3">
      <c r="A100" s="5">
        <f t="shared" si="10"/>
        <v>43946</v>
      </c>
      <c r="B100" s="132">
        <f t="shared" si="12"/>
        <v>0</v>
      </c>
      <c r="C100" s="132">
        <f t="shared" si="12"/>
        <v>0</v>
      </c>
      <c r="D100" s="132">
        <f t="shared" si="12"/>
        <v>0</v>
      </c>
      <c r="E100" s="132">
        <f t="shared" si="12"/>
        <v>0</v>
      </c>
      <c r="F100" s="194"/>
      <c r="G100" s="73">
        <f t="shared" si="11"/>
        <v>0</v>
      </c>
    </row>
    <row r="101" spans="1:7" x14ac:dyDescent="0.3">
      <c r="A101" s="5">
        <f t="shared" si="10"/>
        <v>43947</v>
      </c>
      <c r="B101" s="132">
        <f t="shared" si="12"/>
        <v>0</v>
      </c>
      <c r="C101" s="132">
        <f t="shared" si="12"/>
        <v>0</v>
      </c>
      <c r="D101" s="132">
        <f t="shared" si="12"/>
        <v>0</v>
      </c>
      <c r="E101" s="132">
        <f t="shared" si="12"/>
        <v>0</v>
      </c>
      <c r="F101" s="194"/>
      <c r="G101" s="73">
        <f t="shared" si="11"/>
        <v>0</v>
      </c>
    </row>
    <row r="102" spans="1:7" x14ac:dyDescent="0.3">
      <c r="A102" s="5">
        <f t="shared" si="10"/>
        <v>43948</v>
      </c>
      <c r="B102" s="132">
        <f t="shared" si="12"/>
        <v>0</v>
      </c>
      <c r="C102" s="132">
        <f t="shared" si="12"/>
        <v>0</v>
      </c>
      <c r="D102" s="132">
        <f t="shared" si="12"/>
        <v>0</v>
      </c>
      <c r="E102" s="132">
        <f t="shared" si="12"/>
        <v>0</v>
      </c>
      <c r="F102" s="194"/>
      <c r="G102" s="73">
        <f t="shared" si="11"/>
        <v>0</v>
      </c>
    </row>
    <row r="103" spans="1:7" x14ac:dyDescent="0.3">
      <c r="A103" s="5">
        <f t="shared" si="10"/>
        <v>43949</v>
      </c>
      <c r="B103" s="132">
        <f t="shared" si="12"/>
        <v>0</v>
      </c>
      <c r="C103" s="132">
        <f t="shared" si="12"/>
        <v>0</v>
      </c>
      <c r="D103" s="132">
        <f t="shared" si="12"/>
        <v>0</v>
      </c>
      <c r="E103" s="132">
        <f t="shared" si="12"/>
        <v>0</v>
      </c>
      <c r="F103" s="194"/>
      <c r="G103" s="73">
        <f t="shared" si="11"/>
        <v>0</v>
      </c>
    </row>
    <row r="104" spans="1:7" x14ac:dyDescent="0.3">
      <c r="A104" s="5">
        <f t="shared" si="10"/>
        <v>43950</v>
      </c>
      <c r="B104" s="132">
        <f t="shared" si="12"/>
        <v>0</v>
      </c>
      <c r="C104" s="132">
        <f t="shared" si="12"/>
        <v>0</v>
      </c>
      <c r="D104" s="132">
        <f t="shared" si="12"/>
        <v>0</v>
      </c>
      <c r="E104" s="132">
        <f t="shared" si="12"/>
        <v>0</v>
      </c>
      <c r="F104" s="194"/>
      <c r="G104" s="73">
        <f t="shared" si="11"/>
        <v>0</v>
      </c>
    </row>
    <row r="105" spans="1:7" x14ac:dyDescent="0.3">
      <c r="A105" s="5">
        <f t="shared" si="10"/>
        <v>43951</v>
      </c>
      <c r="B105" s="132">
        <f>IF(B35&lt;0,0,B35*B$75/366)</f>
        <v>0</v>
      </c>
      <c r="C105" s="132">
        <f>IF(C35&lt;0,0,C35*C$75/366)</f>
        <v>0</v>
      </c>
      <c r="D105" s="132">
        <f>IF(D35&lt;0,0,D35*D$75/366)</f>
        <v>0</v>
      </c>
      <c r="E105" s="132">
        <f>IF(E35&lt;0,0,E35*E$75/366)</f>
        <v>0</v>
      </c>
      <c r="F105" s="194"/>
      <c r="G105" s="73">
        <f t="shared" si="11"/>
        <v>0</v>
      </c>
    </row>
    <row r="106" spans="1:7" x14ac:dyDescent="0.3">
      <c r="A106" s="212"/>
      <c r="B106" s="214"/>
      <c r="C106" s="214"/>
      <c r="D106" s="214"/>
      <c r="E106" s="214"/>
      <c r="F106" s="194"/>
      <c r="G106" s="213"/>
    </row>
    <row r="107" spans="1:7" x14ac:dyDescent="0.3">
      <c r="A107" s="173" t="s">
        <v>0</v>
      </c>
      <c r="B107" s="172">
        <f>SUM(B76:B106)</f>
        <v>0</v>
      </c>
      <c r="C107" s="172">
        <f>SUM(C76:C106)</f>
        <v>0</v>
      </c>
      <c r="D107" s="172">
        <f>SUM(D76:D106)</f>
        <v>0</v>
      </c>
      <c r="E107" s="172">
        <f>SUM(E76:E106)</f>
        <v>0</v>
      </c>
      <c r="F107" s="194"/>
      <c r="G107" s="172">
        <f>SUM(G76:G106)</f>
        <v>0</v>
      </c>
    </row>
    <row r="109" spans="1:7" x14ac:dyDescent="0.3">
      <c r="A109" s="125" t="s">
        <v>61</v>
      </c>
    </row>
    <row r="110" spans="1:7" x14ac:dyDescent="0.3">
      <c r="A110" s="126"/>
      <c r="B110" s="834">
        <f>B4</f>
        <v>0</v>
      </c>
      <c r="C110" s="127">
        <f t="shared" ref="C110:E111" si="13">C4</f>
        <v>0</v>
      </c>
      <c r="D110" s="127">
        <f t="shared" si="13"/>
        <v>0</v>
      </c>
      <c r="E110" s="127">
        <f t="shared" si="13"/>
        <v>0</v>
      </c>
      <c r="F110" s="191"/>
      <c r="G110" s="127"/>
    </row>
    <row r="111" spans="1:7" ht="25.8" customHeight="1" x14ac:dyDescent="0.3">
      <c r="A111" s="134"/>
      <c r="B111" s="836"/>
      <c r="C111" s="135">
        <f t="shared" si="13"/>
        <v>0</v>
      </c>
      <c r="D111" s="135">
        <f t="shared" si="13"/>
        <v>0</v>
      </c>
      <c r="E111" s="135">
        <f t="shared" si="13"/>
        <v>0</v>
      </c>
      <c r="F111" s="196"/>
      <c r="G111" s="136" t="s">
        <v>0</v>
      </c>
    </row>
    <row r="112" spans="1:7" x14ac:dyDescent="0.3">
      <c r="A112" s="137" t="s">
        <v>62</v>
      </c>
      <c r="B112" s="21">
        <f>B107</f>
        <v>0</v>
      </c>
      <c r="C112" s="21">
        <f>C107</f>
        <v>0</v>
      </c>
      <c r="D112" s="21">
        <f>D107</f>
        <v>0</v>
      </c>
      <c r="E112" s="21">
        <f>E107</f>
        <v>0</v>
      </c>
      <c r="F112" s="117"/>
      <c r="G112" s="78">
        <f>SUM(B112:E112)</f>
        <v>0</v>
      </c>
    </row>
    <row r="113" spans="1:15" x14ac:dyDescent="0.3">
      <c r="A113" s="138" t="s">
        <v>63</v>
      </c>
      <c r="B113" s="139"/>
      <c r="C113" s="139"/>
      <c r="D113" s="139"/>
      <c r="E113" s="139"/>
      <c r="F113" s="107"/>
      <c r="G113" s="137"/>
      <c r="H113" s="140" t="s">
        <v>144</v>
      </c>
    </row>
    <row r="114" spans="1:15" x14ac:dyDescent="0.3">
      <c r="A114" s="137" t="s">
        <v>64</v>
      </c>
      <c r="B114" s="78">
        <f>B112*B113</f>
        <v>0</v>
      </c>
      <c r="C114" s="78">
        <f>C112*C113</f>
        <v>0</v>
      </c>
      <c r="D114" s="78">
        <f>D112*D113</f>
        <v>0</v>
      </c>
      <c r="E114" s="78">
        <f>E112*E113</f>
        <v>0</v>
      </c>
      <c r="F114" s="107"/>
      <c r="G114" s="78">
        <f>SUM(B114:F114)</f>
        <v>0</v>
      </c>
    </row>
    <row r="115" spans="1:15" x14ac:dyDescent="0.3">
      <c r="A115" s="137" t="s">
        <v>53</v>
      </c>
      <c r="B115" s="141"/>
      <c r="C115" s="141"/>
      <c r="D115" s="141"/>
      <c r="E115" s="141"/>
      <c r="F115" s="197"/>
      <c r="G115" s="78">
        <f>SUM(B115:F115)</f>
        <v>0</v>
      </c>
    </row>
    <row r="116" spans="1:15" x14ac:dyDescent="0.3">
      <c r="A116" s="142" t="s">
        <v>11</v>
      </c>
      <c r="B116" s="78"/>
      <c r="C116" s="78"/>
      <c r="D116" s="78">
        <f>IF(D115=0,0,D115-D114)</f>
        <v>0</v>
      </c>
      <c r="E116" s="78">
        <f>IF(E115=0,0,E115-E114)</f>
        <v>0</v>
      </c>
      <c r="F116" s="107"/>
      <c r="G116" s="78">
        <f>SUM(B116:F116)</f>
        <v>0</v>
      </c>
    </row>
    <row r="117" spans="1:15" x14ac:dyDescent="0.3">
      <c r="A117" s="143" t="s">
        <v>65</v>
      </c>
      <c r="B117" s="141">
        <f>B114+B116</f>
        <v>0</v>
      </c>
      <c r="C117" s="141">
        <f>C114+C116</f>
        <v>0</v>
      </c>
      <c r="D117" s="141">
        <f>D114+D116</f>
        <v>0</v>
      </c>
      <c r="E117" s="141">
        <f>E114+E116</f>
        <v>0</v>
      </c>
      <c r="F117" s="197"/>
      <c r="G117" s="141">
        <f>G114+G116</f>
        <v>0</v>
      </c>
    </row>
    <row r="118" spans="1:15" x14ac:dyDescent="0.3">
      <c r="A118" s="144"/>
      <c r="B118" s="145"/>
      <c r="C118" s="145"/>
      <c r="D118" s="145"/>
      <c r="E118" s="145"/>
      <c r="F118" s="145"/>
    </row>
    <row r="119" spans="1:15" x14ac:dyDescent="0.3">
      <c r="A119" s="146"/>
      <c r="B119" s="147"/>
      <c r="C119" s="147"/>
      <c r="D119" s="147"/>
      <c r="E119" s="147"/>
      <c r="F119" s="147"/>
      <c r="G119" s="112"/>
      <c r="H119" s="148" t="s">
        <v>66</v>
      </c>
      <c r="I119" s="149"/>
      <c r="J119" s="150"/>
      <c r="K119" s="140" t="s">
        <v>67</v>
      </c>
      <c r="O119" s="140"/>
    </row>
    <row r="120" spans="1:15" x14ac:dyDescent="0.3">
      <c r="A120" s="146"/>
      <c r="B120" s="145"/>
      <c r="C120" s="151"/>
      <c r="D120" s="151"/>
      <c r="E120" s="151"/>
      <c r="F120" s="151"/>
    </row>
    <row r="121" spans="1:15" x14ac:dyDescent="0.3">
      <c r="A121" s="64"/>
      <c r="B121" s="145"/>
      <c r="C121" s="151"/>
      <c r="D121" s="152"/>
      <c r="E121" s="152"/>
      <c r="F121" s="152"/>
      <c r="G121" s="112">
        <f>G117</f>
        <v>0</v>
      </c>
      <c r="H121" s="148" t="s">
        <v>35</v>
      </c>
      <c r="I121" s="149"/>
      <c r="J121" s="150"/>
    </row>
    <row r="122" spans="1:15" x14ac:dyDescent="0.3">
      <c r="A122" s="145"/>
      <c r="B122" s="153"/>
      <c r="C122" s="154"/>
      <c r="D122" s="154"/>
      <c r="E122" s="154"/>
      <c r="F122" s="154"/>
    </row>
    <row r="123" spans="1:15" x14ac:dyDescent="0.3">
      <c r="A123" s="145"/>
      <c r="B123" s="153"/>
      <c r="C123" s="154"/>
      <c r="D123" s="154"/>
      <c r="E123" s="154"/>
      <c r="F123" s="154"/>
      <c r="G123" s="112">
        <f>G119+G121-G115</f>
        <v>0</v>
      </c>
      <c r="H123" s="148" t="s">
        <v>68</v>
      </c>
      <c r="I123" s="149"/>
      <c r="J123" s="150"/>
    </row>
    <row r="124" spans="1:15" x14ac:dyDescent="0.3">
      <c r="A124" s="145"/>
      <c r="B124" s="153"/>
      <c r="C124" s="154"/>
      <c r="D124" s="154"/>
      <c r="E124" s="154"/>
      <c r="F124" s="154"/>
      <c r="G124" s="161"/>
      <c r="H124" s="159"/>
      <c r="I124" s="161"/>
      <c r="J124" s="161"/>
    </row>
    <row r="125" spans="1:15" x14ac:dyDescent="0.3">
      <c r="A125" s="144" t="s">
        <v>93</v>
      </c>
      <c r="B125" s="153"/>
      <c r="C125" s="154"/>
      <c r="D125" s="154"/>
      <c r="E125" s="154"/>
      <c r="F125" s="154"/>
      <c r="G125" s="161"/>
      <c r="H125" s="159"/>
      <c r="I125" s="161"/>
      <c r="J125" s="161"/>
    </row>
    <row r="126" spans="1:15" x14ac:dyDescent="0.3">
      <c r="A126" s="209"/>
      <c r="B126" s="174"/>
      <c r="C126" s="174"/>
      <c r="D126" s="174"/>
      <c r="E126" s="174"/>
      <c r="F126" s="154"/>
      <c r="G126" s="161"/>
      <c r="H126" s="159"/>
      <c r="I126" s="161"/>
      <c r="J126" s="161"/>
    </row>
    <row r="127" spans="1:15" x14ac:dyDescent="0.3">
      <c r="A127" s="177"/>
      <c r="B127" s="174"/>
      <c r="C127" s="174"/>
      <c r="D127" s="174"/>
      <c r="E127" s="174"/>
      <c r="F127" s="154"/>
      <c r="G127" s="161"/>
      <c r="H127" s="159"/>
      <c r="I127" s="161"/>
      <c r="J127" s="161"/>
    </row>
    <row r="128" spans="1:15" x14ac:dyDescent="0.3">
      <c r="A128" s="177"/>
      <c r="B128" s="174"/>
      <c r="C128" s="174"/>
      <c r="D128" s="174"/>
      <c r="E128" s="174"/>
      <c r="F128" s="154"/>
      <c r="G128" s="161"/>
      <c r="H128" s="159"/>
      <c r="I128" s="161"/>
      <c r="J128" s="161"/>
    </row>
    <row r="129" spans="1:10" x14ac:dyDescent="0.3">
      <c r="A129" s="177"/>
      <c r="B129" s="174"/>
      <c r="C129" s="174"/>
      <c r="D129" s="174"/>
      <c r="E129" s="174"/>
      <c r="F129" s="154"/>
      <c r="G129" s="161"/>
      <c r="H129" s="159"/>
      <c r="I129" s="161"/>
      <c r="J129" s="161"/>
    </row>
    <row r="130" spans="1:10" ht="14.4" thickBot="1" x14ac:dyDescent="0.35">
      <c r="A130" s="145"/>
      <c r="B130" s="153"/>
      <c r="C130" s="154"/>
      <c r="D130" s="154"/>
      <c r="E130" s="154"/>
      <c r="F130" s="154"/>
      <c r="G130" s="161"/>
      <c r="H130" s="159"/>
      <c r="I130" s="161"/>
      <c r="J130" s="161"/>
    </row>
    <row r="131" spans="1:10" ht="14.4" thickBot="1" x14ac:dyDescent="0.35">
      <c r="A131" s="175"/>
      <c r="B131" s="176">
        <f>SUM(B126:B129)</f>
        <v>0</v>
      </c>
      <c r="C131" s="176">
        <f>SUM(C126:C129)</f>
        <v>0</v>
      </c>
      <c r="D131" s="176">
        <f>SUM(D126:D129)</f>
        <v>0</v>
      </c>
      <c r="E131" s="176">
        <f>SUM(E126:F129)</f>
        <v>0</v>
      </c>
      <c r="F131" s="178"/>
      <c r="G131" s="161"/>
      <c r="H131" s="159"/>
      <c r="I131" s="161"/>
      <c r="J131" s="161"/>
    </row>
    <row r="133" spans="1:10" x14ac:dyDescent="0.3">
      <c r="A133" s="125" t="s">
        <v>69</v>
      </c>
    </row>
    <row r="134" spans="1:10" x14ac:dyDescent="0.3">
      <c r="A134" s="126"/>
      <c r="B134" s="834">
        <f>B4</f>
        <v>0</v>
      </c>
      <c r="C134" s="127">
        <f>C4</f>
        <v>0</v>
      </c>
      <c r="D134" s="127">
        <f>D4</f>
        <v>0</v>
      </c>
      <c r="E134" s="127">
        <f>E4</f>
        <v>0</v>
      </c>
      <c r="F134" s="191"/>
      <c r="G134" s="127"/>
    </row>
    <row r="135" spans="1:10" ht="24.6" customHeight="1" x14ac:dyDescent="0.3">
      <c r="A135" s="134"/>
      <c r="B135" s="836"/>
      <c r="C135" s="135">
        <f>C5</f>
        <v>0</v>
      </c>
      <c r="D135" s="135">
        <f>D5</f>
        <v>0</v>
      </c>
      <c r="E135" s="135">
        <f>E5</f>
        <v>0</v>
      </c>
      <c r="F135" s="196"/>
      <c r="G135" s="136" t="s">
        <v>0</v>
      </c>
    </row>
    <row r="136" spans="1:10" x14ac:dyDescent="0.3">
      <c r="A136" s="143" t="s">
        <v>70</v>
      </c>
      <c r="B136" s="112">
        <f>B35</f>
        <v>0</v>
      </c>
      <c r="C136" s="112">
        <f>C35</f>
        <v>0</v>
      </c>
      <c r="D136" s="112">
        <f>D35</f>
        <v>0</v>
      </c>
      <c r="E136" s="112">
        <f>E35</f>
        <v>0</v>
      </c>
      <c r="F136" s="198"/>
      <c r="G136" s="141">
        <f>SUM(B136:F136)</f>
        <v>0</v>
      </c>
      <c r="H136" s="140" t="s">
        <v>71</v>
      </c>
    </row>
    <row r="137" spans="1:10" x14ac:dyDescent="0.3">
      <c r="A137" s="138" t="s">
        <v>63</v>
      </c>
      <c r="B137" s="139">
        <f>B113</f>
        <v>0</v>
      </c>
      <c r="C137" s="139">
        <f>C113</f>
        <v>0</v>
      </c>
      <c r="D137" s="139">
        <f>D113</f>
        <v>0</v>
      </c>
      <c r="E137" s="139">
        <f>E113</f>
        <v>0</v>
      </c>
      <c r="F137" s="107"/>
      <c r="G137" s="137"/>
    </row>
    <row r="138" spans="1:10" x14ac:dyDescent="0.3">
      <c r="A138" s="143" t="s">
        <v>72</v>
      </c>
      <c r="B138" s="141">
        <f>B136*B137</f>
        <v>0</v>
      </c>
      <c r="C138" s="141">
        <f>C136*C137</f>
        <v>0</v>
      </c>
      <c r="D138" s="141">
        <f>D136*D137</f>
        <v>0</v>
      </c>
      <c r="E138" s="141">
        <f>E136*E137</f>
        <v>0</v>
      </c>
      <c r="F138" s="197"/>
      <c r="G138" s="141">
        <f>SUM(B138:F138)</f>
        <v>0</v>
      </c>
    </row>
    <row r="139" spans="1:10" x14ac:dyDescent="0.3">
      <c r="A139" s="143" t="s">
        <v>73</v>
      </c>
      <c r="B139" s="141">
        <f>IF(B136=0,0,B70)</f>
        <v>0</v>
      </c>
      <c r="C139" s="141">
        <f>IF(C136=0,0,C70)</f>
        <v>0</v>
      </c>
      <c r="D139" s="141">
        <f>IF(D136=0,0,D70)</f>
        <v>0</v>
      </c>
      <c r="E139" s="141">
        <f>IF(E136=0,0,E70)</f>
        <v>0</v>
      </c>
      <c r="F139" s="197"/>
      <c r="G139" s="141">
        <f>SUM(B139:F139)</f>
        <v>0</v>
      </c>
      <c r="H139" s="140" t="s">
        <v>74</v>
      </c>
    </row>
    <row r="140" spans="1:10" x14ac:dyDescent="0.3">
      <c r="A140" s="143" t="s">
        <v>75</v>
      </c>
      <c r="B140" s="112">
        <f>B138-B139</f>
        <v>0</v>
      </c>
      <c r="C140" s="112">
        <f>C138-C139</f>
        <v>0</v>
      </c>
      <c r="D140" s="112">
        <f>D138-D139</f>
        <v>0</v>
      </c>
      <c r="E140" s="112">
        <f>E138-E139</f>
        <v>0</v>
      </c>
      <c r="F140" s="198"/>
      <c r="G140" s="112">
        <f>G138-G139</f>
        <v>0</v>
      </c>
    </row>
    <row r="141" spans="1:10" x14ac:dyDescent="0.3">
      <c r="A141" s="155" t="s">
        <v>70</v>
      </c>
      <c r="C141" s="156" t="s">
        <v>76</v>
      </c>
      <c r="D141" s="157"/>
      <c r="E141" s="157"/>
      <c r="F141" s="199"/>
      <c r="G141" s="158">
        <v>0</v>
      </c>
      <c r="H141" s="140" t="s">
        <v>67</v>
      </c>
      <c r="J141" s="74"/>
    </row>
    <row r="142" spans="1:10" x14ac:dyDescent="0.3">
      <c r="A142" s="155" t="s">
        <v>77</v>
      </c>
      <c r="C142" s="156" t="s">
        <v>78</v>
      </c>
      <c r="D142" s="157"/>
      <c r="E142" s="157"/>
      <c r="F142" s="199"/>
      <c r="G142" s="158">
        <v>0</v>
      </c>
      <c r="H142" s="140"/>
      <c r="J142" s="74"/>
    </row>
    <row r="143" spans="1:10" x14ac:dyDescent="0.3">
      <c r="A143" s="64"/>
      <c r="C143" s="156" t="s">
        <v>79</v>
      </c>
      <c r="D143" s="157"/>
      <c r="E143" s="157"/>
      <c r="F143" s="199"/>
      <c r="G143" s="158">
        <f>G141+G142</f>
        <v>0</v>
      </c>
      <c r="H143" s="140"/>
      <c r="J143" s="74"/>
    </row>
    <row r="144" spans="1:10" x14ac:dyDescent="0.3">
      <c r="A144" s="64"/>
      <c r="C144" s="61" t="s">
        <v>80</v>
      </c>
      <c r="D144" s="20"/>
      <c r="E144" s="20"/>
      <c r="F144" s="199"/>
      <c r="G144" s="21">
        <f>G140-G143</f>
        <v>0</v>
      </c>
      <c r="H144" s="140"/>
      <c r="J144" s="74"/>
    </row>
    <row r="145" spans="1:10" x14ac:dyDescent="0.3">
      <c r="C145" s="61" t="s">
        <v>81</v>
      </c>
      <c r="D145" s="20"/>
      <c r="E145" s="20"/>
      <c r="F145" s="199"/>
      <c r="G145" s="21"/>
      <c r="H145" s="140" t="s">
        <v>67</v>
      </c>
      <c r="J145" s="74"/>
    </row>
    <row r="146" spans="1:10" x14ac:dyDescent="0.3">
      <c r="A146" s="159"/>
      <c r="C146" s="148" t="s">
        <v>82</v>
      </c>
      <c r="D146" s="160"/>
      <c r="E146" s="160"/>
      <c r="F146" s="200"/>
      <c r="G146" s="112">
        <f>G144+G145</f>
        <v>0</v>
      </c>
      <c r="H146" s="74"/>
      <c r="J146" s="74"/>
    </row>
    <row r="147" spans="1:10" x14ac:dyDescent="0.3">
      <c r="F147" s="201"/>
      <c r="H147" s="74"/>
    </row>
    <row r="148" spans="1:10" x14ac:dyDescent="0.3">
      <c r="A148" s="137" t="s">
        <v>83</v>
      </c>
      <c r="B148" s="21">
        <v>0</v>
      </c>
      <c r="C148" s="21">
        <v>0</v>
      </c>
      <c r="D148" s="21">
        <f>+D136</f>
        <v>0</v>
      </c>
      <c r="E148" s="21">
        <f>+E136</f>
        <v>0</v>
      </c>
      <c r="F148" s="117"/>
      <c r="G148" s="78">
        <f>SUM(B148:F148)</f>
        <v>0</v>
      </c>
    </row>
    <row r="149" spans="1:10" x14ac:dyDescent="0.3">
      <c r="A149" s="137" t="s">
        <v>84</v>
      </c>
      <c r="B149" s="21"/>
      <c r="C149" s="21"/>
      <c r="D149" s="21"/>
      <c r="E149" s="21"/>
      <c r="F149" s="117"/>
      <c r="G149" s="78">
        <f>SUM(B149:F149)</f>
        <v>0</v>
      </c>
    </row>
    <row r="150" spans="1:10" x14ac:dyDescent="0.3">
      <c r="A150" s="137" t="s">
        <v>85</v>
      </c>
      <c r="B150" s="21">
        <f>B131</f>
        <v>0</v>
      </c>
      <c r="C150" s="21">
        <f>C131</f>
        <v>0</v>
      </c>
      <c r="D150" s="21">
        <f>D131</f>
        <v>0</v>
      </c>
      <c r="E150" s="21">
        <f>E131</f>
        <v>0</v>
      </c>
      <c r="F150" s="117"/>
      <c r="G150" s="78">
        <f>SUM(B150:F150)</f>
        <v>0</v>
      </c>
    </row>
    <row r="151" spans="1:10" x14ac:dyDescent="0.3">
      <c r="A151" s="143" t="s">
        <v>86</v>
      </c>
      <c r="B151" s="112">
        <f t="shared" ref="B151:E152" si="14">B149-B148</f>
        <v>0</v>
      </c>
      <c r="C151" s="112">
        <f t="shared" si="14"/>
        <v>0</v>
      </c>
      <c r="D151" s="112">
        <f t="shared" si="14"/>
        <v>0</v>
      </c>
      <c r="E151" s="112">
        <f t="shared" si="14"/>
        <v>0</v>
      </c>
      <c r="F151" s="198"/>
      <c r="G151" s="141">
        <f>SUM(B151:F151)</f>
        <v>0</v>
      </c>
    </row>
    <row r="152" spans="1:10" x14ac:dyDescent="0.3">
      <c r="A152" s="143" t="s">
        <v>87</v>
      </c>
      <c r="B152" s="112">
        <f t="shared" si="14"/>
        <v>0</v>
      </c>
      <c r="C152" s="112">
        <f t="shared" si="14"/>
        <v>0</v>
      </c>
      <c r="D152" s="112">
        <f t="shared" si="14"/>
        <v>0</v>
      </c>
      <c r="E152" s="112">
        <f t="shared" si="14"/>
        <v>0</v>
      </c>
      <c r="F152" s="198"/>
      <c r="G152" s="141">
        <f>SUM(B152:F152)</f>
        <v>0</v>
      </c>
    </row>
    <row r="153" spans="1:10" x14ac:dyDescent="0.3">
      <c r="A153" s="159"/>
      <c r="B153" s="161"/>
      <c r="C153" s="161"/>
      <c r="D153" s="161"/>
      <c r="E153" s="161"/>
      <c r="F153" s="152"/>
      <c r="G153" s="162"/>
    </row>
    <row r="154" spans="1:10" x14ac:dyDescent="0.3">
      <c r="A154" s="163" t="s">
        <v>88</v>
      </c>
      <c r="B154" s="164">
        <f>B150-B148</f>
        <v>0</v>
      </c>
      <c r="C154" s="164">
        <f>C150-C148</f>
        <v>0</v>
      </c>
      <c r="D154" s="164">
        <f>D150-D148</f>
        <v>0</v>
      </c>
      <c r="E154" s="164">
        <f>E150-E148</f>
        <v>0</v>
      </c>
      <c r="F154" s="198"/>
      <c r="G154" s="165">
        <f>G150-G148</f>
        <v>0</v>
      </c>
    </row>
    <row r="155" spans="1:10" x14ac:dyDescent="0.3">
      <c r="B155" s="74"/>
      <c r="C155" s="74"/>
      <c r="D155" s="74"/>
      <c r="E155" s="74"/>
      <c r="F155" s="119"/>
      <c r="G155" s="74"/>
    </row>
    <row r="156" spans="1:10" x14ac:dyDescent="0.3">
      <c r="B156" s="166"/>
      <c r="C156" s="167" t="s">
        <v>89</v>
      </c>
      <c r="D156" s="168"/>
      <c r="E156" s="169"/>
      <c r="F156" s="202"/>
      <c r="G156" s="79">
        <f>G141</f>
        <v>0</v>
      </c>
    </row>
    <row r="157" spans="1:10" x14ac:dyDescent="0.3">
      <c r="B157" s="166"/>
      <c r="C157" s="160" t="s">
        <v>90</v>
      </c>
      <c r="D157" s="170"/>
      <c r="E157" s="171"/>
      <c r="F157" s="202"/>
      <c r="G157" s="141">
        <f>G146</f>
        <v>0</v>
      </c>
    </row>
    <row r="158" spans="1:10" x14ac:dyDescent="0.3">
      <c r="B158" s="166"/>
      <c r="C158" s="143" t="s">
        <v>86</v>
      </c>
      <c r="D158" s="170"/>
      <c r="E158" s="171"/>
      <c r="F158" s="202"/>
      <c r="G158" s="141">
        <f>-G151</f>
        <v>0</v>
      </c>
    </row>
    <row r="159" spans="1:10" x14ac:dyDescent="0.3">
      <c r="B159" s="166"/>
      <c r="C159" s="143" t="s">
        <v>87</v>
      </c>
      <c r="D159" s="170"/>
      <c r="E159" s="171"/>
      <c r="F159" s="202"/>
      <c r="G159" s="141">
        <f>-G152</f>
        <v>0</v>
      </c>
    </row>
    <row r="160" spans="1:10" x14ac:dyDescent="0.3">
      <c r="B160" s="166"/>
      <c r="C160" s="160" t="s">
        <v>91</v>
      </c>
      <c r="D160" s="170"/>
      <c r="E160" s="171"/>
      <c r="F160" s="202"/>
      <c r="G160" s="141">
        <f>SUM(G156:G159)</f>
        <v>0</v>
      </c>
    </row>
  </sheetData>
  <mergeCells count="11">
    <mergeCell ref="G4:G5"/>
    <mergeCell ref="G38:G39"/>
    <mergeCell ref="A73:A74"/>
    <mergeCell ref="G73:G74"/>
    <mergeCell ref="B4:B5"/>
    <mergeCell ref="A38:A39"/>
    <mergeCell ref="B38:B39"/>
    <mergeCell ref="B73:B74"/>
    <mergeCell ref="B110:B111"/>
    <mergeCell ref="B134:B135"/>
    <mergeCell ref="A4:A5"/>
  </mergeCells>
  <printOptions horizontalCentered="1" verticalCentered="1"/>
  <pageMargins left="0.5" right="0.5" top="0.5" bottom="0.5" header="0.5" footer="0.5"/>
  <pageSetup scale="24" orientation="landscape" r:id="rId1"/>
  <headerFooter alignWithMargins="0"/>
  <ignoredErrors>
    <ignoredError sqref="G6 G35" formulaRange="1"/>
  </ignoredError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855E-E777-4034-A6E6-4C7D5541543A}">
  <sheetPr>
    <pageSetUpPr fitToPage="1"/>
  </sheetPr>
  <dimension ref="A1:H87"/>
  <sheetViews>
    <sheetView showGridLines="0" topLeftCell="A25" zoomScale="95" zoomScaleNormal="95" workbookViewId="0">
      <selection activeCell="J46" sqref="J46"/>
    </sheetView>
  </sheetViews>
  <sheetFormatPr defaultColWidth="8.90625" defaultRowHeight="13.8" x14ac:dyDescent="0.3"/>
  <cols>
    <col min="1" max="1" width="16.1796875" style="2" customWidth="1"/>
    <col min="2" max="2" width="13.6328125" style="2" customWidth="1"/>
    <col min="3" max="3" width="2.26953125" style="64" customWidth="1"/>
    <col min="4" max="4" width="13.6328125" style="2" customWidth="1"/>
    <col min="5" max="5" width="8.90625" style="2"/>
    <col min="6" max="6" width="8.54296875" style="2" bestFit="1" customWidth="1"/>
    <col min="7" max="7" width="3.1796875" style="2" bestFit="1" customWidth="1"/>
    <col min="8" max="8" width="8.453125" style="2" customWidth="1"/>
    <col min="9" max="16384" width="8.90625" style="2"/>
  </cols>
  <sheetData>
    <row r="1" spans="1:8" ht="18" x14ac:dyDescent="0.35">
      <c r="A1" s="6" t="s">
        <v>34</v>
      </c>
      <c r="B1" s="87"/>
      <c r="C1" s="186"/>
      <c r="D1" s="1"/>
    </row>
    <row r="2" spans="1:8" ht="18.600000000000001" thickBot="1" x14ac:dyDescent="0.4">
      <c r="A2" s="7" t="s">
        <v>115</v>
      </c>
      <c r="B2" s="84"/>
      <c r="C2" s="95"/>
      <c r="D2" s="58" t="e">
        <f>#REF!</f>
        <v>#REF!</v>
      </c>
    </row>
    <row r="3" spans="1:8" x14ac:dyDescent="0.3">
      <c r="A3" s="3"/>
      <c r="B3" s="85"/>
      <c r="C3" s="187"/>
      <c r="D3" s="85"/>
    </row>
    <row r="4" spans="1:8" x14ac:dyDescent="0.3">
      <c r="A4" s="799" t="s">
        <v>23</v>
      </c>
      <c r="B4" s="799"/>
      <c r="C4" s="799"/>
      <c r="D4" s="799"/>
    </row>
    <row r="5" spans="1:8" s="96" customFormat="1" ht="54.6" customHeight="1" x14ac:dyDescent="0.25">
      <c r="A5" s="86" t="s">
        <v>4</v>
      </c>
      <c r="B5" s="98" t="s">
        <v>151</v>
      </c>
      <c r="C5" s="188"/>
      <c r="D5" s="83" t="s">
        <v>0</v>
      </c>
      <c r="F5" s="99">
        <v>44249</v>
      </c>
      <c r="G5" s="96">
        <v>120</v>
      </c>
      <c r="H5" s="99">
        <f>F5+G5</f>
        <v>44369</v>
      </c>
    </row>
    <row r="6" spans="1:8" x14ac:dyDescent="0.3">
      <c r="A6" s="5">
        <v>44228</v>
      </c>
      <c r="B6" s="90"/>
      <c r="C6" s="90"/>
      <c r="D6" s="4">
        <f t="shared" ref="D6:D33" si="0">SUM(B6:C6)</f>
        <v>0</v>
      </c>
      <c r="E6" s="64"/>
      <c r="F6" s="97"/>
      <c r="H6" s="97"/>
    </row>
    <row r="7" spans="1:8" x14ac:dyDescent="0.3">
      <c r="A7" s="5">
        <v>44229</v>
      </c>
      <c r="B7" s="90"/>
      <c r="C7" s="90"/>
      <c r="D7" s="4">
        <f t="shared" si="0"/>
        <v>0</v>
      </c>
      <c r="E7" s="97"/>
      <c r="F7" s="100"/>
      <c r="G7" s="97"/>
      <c r="H7" s="97"/>
    </row>
    <row r="8" spans="1:8" x14ac:dyDescent="0.3">
      <c r="A8" s="5">
        <v>44230</v>
      </c>
      <c r="B8" s="90"/>
      <c r="C8" s="90"/>
      <c r="D8" s="4">
        <f t="shared" si="0"/>
        <v>0</v>
      </c>
    </row>
    <row r="9" spans="1:8" x14ac:dyDescent="0.3">
      <c r="A9" s="5">
        <v>44231</v>
      </c>
      <c r="B9" s="90"/>
      <c r="C9" s="90"/>
      <c r="D9" s="4">
        <f t="shared" si="0"/>
        <v>0</v>
      </c>
    </row>
    <row r="10" spans="1:8" x14ac:dyDescent="0.3">
      <c r="A10" s="5">
        <v>44232</v>
      </c>
      <c r="B10" s="90"/>
      <c r="C10" s="90"/>
      <c r="D10" s="4">
        <f t="shared" si="0"/>
        <v>0</v>
      </c>
    </row>
    <row r="11" spans="1:8" x14ac:dyDescent="0.3">
      <c r="A11" s="5">
        <v>44233</v>
      </c>
      <c r="B11" s="90"/>
      <c r="C11" s="90"/>
      <c r="D11" s="4">
        <f t="shared" si="0"/>
        <v>0</v>
      </c>
    </row>
    <row r="12" spans="1:8" x14ac:dyDescent="0.3">
      <c r="A12" s="5">
        <v>44234</v>
      </c>
      <c r="B12" s="90"/>
      <c r="C12" s="90"/>
      <c r="D12" s="4">
        <f t="shared" si="0"/>
        <v>0</v>
      </c>
      <c r="E12" s="97"/>
      <c r="G12" s="97"/>
    </row>
    <row r="13" spans="1:8" x14ac:dyDescent="0.3">
      <c r="A13" s="5">
        <v>44235</v>
      </c>
      <c r="B13" s="90"/>
      <c r="C13" s="90"/>
      <c r="D13" s="4">
        <f t="shared" si="0"/>
        <v>0</v>
      </c>
    </row>
    <row r="14" spans="1:8" x14ac:dyDescent="0.3">
      <c r="A14" s="5">
        <v>44236</v>
      </c>
      <c r="B14" s="90"/>
      <c r="C14" s="90"/>
      <c r="D14" s="4">
        <f t="shared" si="0"/>
        <v>0</v>
      </c>
    </row>
    <row r="15" spans="1:8" x14ac:dyDescent="0.3">
      <c r="A15" s="5">
        <v>44237</v>
      </c>
      <c r="B15" s="90"/>
      <c r="C15" s="90"/>
      <c r="D15" s="4">
        <f t="shared" si="0"/>
        <v>0</v>
      </c>
    </row>
    <row r="16" spans="1:8" x14ac:dyDescent="0.3">
      <c r="A16" s="5">
        <v>44238</v>
      </c>
      <c r="B16" s="90"/>
      <c r="C16" s="90"/>
      <c r="D16" s="4">
        <f t="shared" si="0"/>
        <v>0</v>
      </c>
    </row>
    <row r="17" spans="1:4" x14ac:dyDescent="0.3">
      <c r="A17" s="5">
        <v>44239</v>
      </c>
      <c r="B17" s="90"/>
      <c r="C17" s="90"/>
      <c r="D17" s="4">
        <f t="shared" si="0"/>
        <v>0</v>
      </c>
    </row>
    <row r="18" spans="1:4" x14ac:dyDescent="0.3">
      <c r="A18" s="5">
        <v>44240</v>
      </c>
      <c r="B18" s="90"/>
      <c r="C18" s="90"/>
      <c r="D18" s="4">
        <f t="shared" si="0"/>
        <v>0</v>
      </c>
    </row>
    <row r="19" spans="1:4" x14ac:dyDescent="0.3">
      <c r="A19" s="5">
        <v>44241</v>
      </c>
      <c r="B19" s="90"/>
      <c r="C19" s="90"/>
      <c r="D19" s="4">
        <f t="shared" si="0"/>
        <v>0</v>
      </c>
    </row>
    <row r="20" spans="1:4" x14ac:dyDescent="0.3">
      <c r="A20" s="5">
        <v>44242</v>
      </c>
      <c r="B20" s="90"/>
      <c r="C20" s="90"/>
      <c r="D20" s="4">
        <f t="shared" si="0"/>
        <v>0</v>
      </c>
    </row>
    <row r="21" spans="1:4" x14ac:dyDescent="0.3">
      <c r="A21" s="5">
        <v>44243</v>
      </c>
      <c r="B21" s="90"/>
      <c r="C21" s="90"/>
      <c r="D21" s="4">
        <f t="shared" si="0"/>
        <v>0</v>
      </c>
    </row>
    <row r="22" spans="1:4" x14ac:dyDescent="0.3">
      <c r="A22" s="5">
        <v>44244</v>
      </c>
      <c r="B22" s="90"/>
      <c r="C22" s="90"/>
      <c r="D22" s="4">
        <f t="shared" si="0"/>
        <v>0</v>
      </c>
    </row>
    <row r="23" spans="1:4" x14ac:dyDescent="0.3">
      <c r="A23" s="5">
        <v>44245</v>
      </c>
      <c r="B23" s="90"/>
      <c r="C23" s="90"/>
      <c r="D23" s="4">
        <f t="shared" si="0"/>
        <v>0</v>
      </c>
    </row>
    <row r="24" spans="1:4" x14ac:dyDescent="0.3">
      <c r="A24" s="5">
        <v>44246</v>
      </c>
      <c r="B24" s="90"/>
      <c r="C24" s="90"/>
      <c r="D24" s="4">
        <f t="shared" si="0"/>
        <v>0</v>
      </c>
    </row>
    <row r="25" spans="1:4" x14ac:dyDescent="0.3">
      <c r="A25" s="5">
        <v>44247</v>
      </c>
      <c r="B25" s="90"/>
      <c r="C25" s="90"/>
      <c r="D25" s="4">
        <f t="shared" si="0"/>
        <v>0</v>
      </c>
    </row>
    <row r="26" spans="1:4" x14ac:dyDescent="0.3">
      <c r="A26" s="5">
        <v>44248</v>
      </c>
      <c r="B26" s="90"/>
      <c r="C26" s="90"/>
      <c r="D26" s="4">
        <f t="shared" si="0"/>
        <v>0</v>
      </c>
    </row>
    <row r="27" spans="1:4" x14ac:dyDescent="0.3">
      <c r="A27" s="5">
        <v>44249</v>
      </c>
      <c r="B27" s="90"/>
      <c r="C27" s="90"/>
      <c r="D27" s="4">
        <f t="shared" si="0"/>
        <v>0</v>
      </c>
    </row>
    <row r="28" spans="1:4" x14ac:dyDescent="0.3">
      <c r="A28" s="5">
        <v>44250</v>
      </c>
      <c r="B28" s="90"/>
      <c r="C28" s="90"/>
      <c r="D28" s="4">
        <f t="shared" si="0"/>
        <v>0</v>
      </c>
    </row>
    <row r="29" spans="1:4" x14ac:dyDescent="0.3">
      <c r="A29" s="5">
        <v>44251</v>
      </c>
      <c r="B29" s="90"/>
      <c r="C29" s="90"/>
      <c r="D29" s="4">
        <f t="shared" si="0"/>
        <v>0</v>
      </c>
    </row>
    <row r="30" spans="1:4" x14ac:dyDescent="0.3">
      <c r="A30" s="5">
        <v>44252</v>
      </c>
      <c r="B30" s="90"/>
      <c r="C30" s="90"/>
      <c r="D30" s="4">
        <f t="shared" si="0"/>
        <v>0</v>
      </c>
    </row>
    <row r="31" spans="1:4" x14ac:dyDescent="0.3">
      <c r="A31" s="5">
        <v>44253</v>
      </c>
      <c r="B31" s="90"/>
      <c r="C31" s="90"/>
      <c r="D31" s="4">
        <f t="shared" si="0"/>
        <v>0</v>
      </c>
    </row>
    <row r="32" spans="1:4" x14ac:dyDescent="0.3">
      <c r="A32" s="5">
        <v>44254</v>
      </c>
      <c r="B32" s="90"/>
      <c r="C32" s="90"/>
      <c r="D32" s="4">
        <f t="shared" si="0"/>
        <v>0</v>
      </c>
    </row>
    <row r="33" spans="1:6" x14ac:dyDescent="0.3">
      <c r="A33" s="5">
        <v>44255</v>
      </c>
      <c r="B33" s="90"/>
      <c r="C33" s="90"/>
      <c r="D33" s="4">
        <f t="shared" si="0"/>
        <v>0</v>
      </c>
    </row>
    <row r="34" spans="1:6" x14ac:dyDescent="0.3">
      <c r="A34" s="212"/>
      <c r="B34" s="213"/>
      <c r="C34" s="90"/>
      <c r="D34" s="218"/>
    </row>
    <row r="35" spans="1:6" x14ac:dyDescent="0.3">
      <c r="A35" s="212"/>
      <c r="B35" s="213"/>
      <c r="C35" s="90"/>
      <c r="D35" s="218"/>
    </row>
    <row r="36" spans="1:6" x14ac:dyDescent="0.3">
      <c r="A36" s="212"/>
      <c r="B36" s="213"/>
      <c r="C36" s="90"/>
      <c r="D36" s="218"/>
      <c r="E36" s="64"/>
      <c r="F36" s="64"/>
    </row>
    <row r="37" spans="1:6" x14ac:dyDescent="0.3">
      <c r="A37" s="796"/>
      <c r="B37" s="796"/>
      <c r="C37" s="796"/>
      <c r="D37" s="796"/>
    </row>
    <row r="38" spans="1:6" x14ac:dyDescent="0.3">
      <c r="A38" s="799" t="s">
        <v>43</v>
      </c>
      <c r="B38" s="799"/>
      <c r="C38" s="799"/>
      <c r="D38" s="799"/>
    </row>
    <row r="39" spans="1:6" s="96" customFormat="1" ht="56.4" customHeight="1" x14ac:dyDescent="0.25">
      <c r="A39" s="86" t="s">
        <v>4</v>
      </c>
      <c r="B39" s="83" t="str">
        <f>B5</f>
        <v>002FATR00071795 (C.D 22.02.2021, M.D 22.06.2021)</v>
      </c>
      <c r="C39" s="188"/>
      <c r="D39" s="83" t="s">
        <v>0</v>
      </c>
    </row>
    <row r="40" spans="1:6" s="105" customFormat="1" ht="27.6" x14ac:dyDescent="0.25">
      <c r="A40" s="102" t="s">
        <v>125</v>
      </c>
      <c r="B40" s="103"/>
      <c r="C40" s="184"/>
      <c r="D40" s="104"/>
    </row>
    <row r="41" spans="1:6" x14ac:dyDescent="0.3">
      <c r="A41" s="5">
        <f>A6</f>
        <v>44228</v>
      </c>
      <c r="B41" s="4">
        <f>IF(B6&lt;0,0,B6*B$40/365)</f>
        <v>0</v>
      </c>
      <c r="C41" s="88"/>
      <c r="D41" s="4">
        <f t="shared" ref="D41:D68" si="1">SUM(B41:C41)</f>
        <v>0</v>
      </c>
    </row>
    <row r="42" spans="1:6" x14ac:dyDescent="0.3">
      <c r="A42" s="5">
        <f t="shared" ref="A42:A68" si="2">A7</f>
        <v>44229</v>
      </c>
      <c r="B42" s="4">
        <f t="shared" ref="B42:B68" si="3">IF(B7&lt;0,0,B7*B$40/365)</f>
        <v>0</v>
      </c>
      <c r="C42" s="88"/>
      <c r="D42" s="4">
        <f t="shared" si="1"/>
        <v>0</v>
      </c>
    </row>
    <row r="43" spans="1:6" x14ac:dyDescent="0.3">
      <c r="A43" s="5">
        <f t="shared" si="2"/>
        <v>44230</v>
      </c>
      <c r="B43" s="4">
        <f t="shared" si="3"/>
        <v>0</v>
      </c>
      <c r="C43" s="88"/>
      <c r="D43" s="4">
        <f t="shared" si="1"/>
        <v>0</v>
      </c>
    </row>
    <row r="44" spans="1:6" x14ac:dyDescent="0.3">
      <c r="A44" s="5">
        <f t="shared" si="2"/>
        <v>44231</v>
      </c>
      <c r="B44" s="4">
        <f t="shared" si="3"/>
        <v>0</v>
      </c>
      <c r="C44" s="88"/>
      <c r="D44" s="4">
        <f t="shared" si="1"/>
        <v>0</v>
      </c>
      <c r="F44" s="74"/>
    </row>
    <row r="45" spans="1:6" x14ac:dyDescent="0.3">
      <c r="A45" s="5">
        <f t="shared" si="2"/>
        <v>44232</v>
      </c>
      <c r="B45" s="4">
        <f t="shared" si="3"/>
        <v>0</v>
      </c>
      <c r="C45" s="88"/>
      <c r="D45" s="4">
        <f t="shared" si="1"/>
        <v>0</v>
      </c>
    </row>
    <row r="46" spans="1:6" x14ac:dyDescent="0.3">
      <c r="A46" s="5">
        <f t="shared" si="2"/>
        <v>44233</v>
      </c>
      <c r="B46" s="4">
        <f t="shared" si="3"/>
        <v>0</v>
      </c>
      <c r="C46" s="88"/>
      <c r="D46" s="4">
        <f t="shared" si="1"/>
        <v>0</v>
      </c>
    </row>
    <row r="47" spans="1:6" x14ac:dyDescent="0.3">
      <c r="A47" s="5">
        <f t="shared" si="2"/>
        <v>44234</v>
      </c>
      <c r="B47" s="4">
        <f t="shared" si="3"/>
        <v>0</v>
      </c>
      <c r="C47" s="88"/>
      <c r="D47" s="4">
        <f t="shared" si="1"/>
        <v>0</v>
      </c>
    </row>
    <row r="48" spans="1:6" x14ac:dyDescent="0.3">
      <c r="A48" s="5">
        <f t="shared" si="2"/>
        <v>44235</v>
      </c>
      <c r="B48" s="4">
        <f t="shared" si="3"/>
        <v>0</v>
      </c>
      <c r="C48" s="88"/>
      <c r="D48" s="4">
        <f t="shared" si="1"/>
        <v>0</v>
      </c>
    </row>
    <row r="49" spans="1:4" x14ac:dyDescent="0.3">
      <c r="A49" s="5">
        <f t="shared" si="2"/>
        <v>44236</v>
      </c>
      <c r="B49" s="4">
        <f t="shared" si="3"/>
        <v>0</v>
      </c>
      <c r="C49" s="88"/>
      <c r="D49" s="4">
        <f t="shared" si="1"/>
        <v>0</v>
      </c>
    </row>
    <row r="50" spans="1:4" x14ac:dyDescent="0.3">
      <c r="A50" s="5">
        <f t="shared" si="2"/>
        <v>44237</v>
      </c>
      <c r="B50" s="4">
        <f t="shared" si="3"/>
        <v>0</v>
      </c>
      <c r="C50" s="88"/>
      <c r="D50" s="4">
        <f t="shared" si="1"/>
        <v>0</v>
      </c>
    </row>
    <row r="51" spans="1:4" x14ac:dyDescent="0.3">
      <c r="A51" s="5">
        <f t="shared" si="2"/>
        <v>44238</v>
      </c>
      <c r="B51" s="4">
        <f t="shared" si="3"/>
        <v>0</v>
      </c>
      <c r="C51" s="88"/>
      <c r="D51" s="4">
        <f t="shared" si="1"/>
        <v>0</v>
      </c>
    </row>
    <row r="52" spans="1:4" x14ac:dyDescent="0.3">
      <c r="A52" s="5">
        <f t="shared" si="2"/>
        <v>44239</v>
      </c>
      <c r="B52" s="4">
        <f t="shared" si="3"/>
        <v>0</v>
      </c>
      <c r="C52" s="88"/>
      <c r="D52" s="4">
        <f t="shared" si="1"/>
        <v>0</v>
      </c>
    </row>
    <row r="53" spans="1:4" x14ac:dyDescent="0.3">
      <c r="A53" s="5">
        <f t="shared" si="2"/>
        <v>44240</v>
      </c>
      <c r="B53" s="4">
        <f t="shared" si="3"/>
        <v>0</v>
      </c>
      <c r="C53" s="88"/>
      <c r="D53" s="4">
        <f t="shared" si="1"/>
        <v>0</v>
      </c>
    </row>
    <row r="54" spans="1:4" x14ac:dyDescent="0.3">
      <c r="A54" s="5">
        <f t="shared" si="2"/>
        <v>44241</v>
      </c>
      <c r="B54" s="4">
        <f t="shared" si="3"/>
        <v>0</v>
      </c>
      <c r="C54" s="88"/>
      <c r="D54" s="4">
        <f t="shared" si="1"/>
        <v>0</v>
      </c>
    </row>
    <row r="55" spans="1:4" x14ac:dyDescent="0.3">
      <c r="A55" s="5">
        <f t="shared" si="2"/>
        <v>44242</v>
      </c>
      <c r="B55" s="4">
        <f t="shared" si="3"/>
        <v>0</v>
      </c>
      <c r="C55" s="88"/>
      <c r="D55" s="4">
        <f t="shared" si="1"/>
        <v>0</v>
      </c>
    </row>
    <row r="56" spans="1:4" x14ac:dyDescent="0.3">
      <c r="A56" s="5">
        <f t="shared" si="2"/>
        <v>44243</v>
      </c>
      <c r="B56" s="4">
        <f t="shared" si="3"/>
        <v>0</v>
      </c>
      <c r="C56" s="88"/>
      <c r="D56" s="4">
        <f t="shared" si="1"/>
        <v>0</v>
      </c>
    </row>
    <row r="57" spans="1:4" x14ac:dyDescent="0.3">
      <c r="A57" s="5">
        <f t="shared" si="2"/>
        <v>44244</v>
      </c>
      <c r="B57" s="4">
        <f t="shared" si="3"/>
        <v>0</v>
      </c>
      <c r="C57" s="88"/>
      <c r="D57" s="4">
        <f t="shared" si="1"/>
        <v>0</v>
      </c>
    </row>
    <row r="58" spans="1:4" x14ac:dyDescent="0.3">
      <c r="A58" s="5">
        <f t="shared" si="2"/>
        <v>44245</v>
      </c>
      <c r="B58" s="4">
        <f t="shared" si="3"/>
        <v>0</v>
      </c>
      <c r="C58" s="88"/>
      <c r="D58" s="4">
        <f t="shared" si="1"/>
        <v>0</v>
      </c>
    </row>
    <row r="59" spans="1:4" x14ac:dyDescent="0.3">
      <c r="A59" s="5">
        <f t="shared" si="2"/>
        <v>44246</v>
      </c>
      <c r="B59" s="4">
        <f t="shared" si="3"/>
        <v>0</v>
      </c>
      <c r="C59" s="88"/>
      <c r="D59" s="4">
        <f t="shared" si="1"/>
        <v>0</v>
      </c>
    </row>
    <row r="60" spans="1:4" x14ac:dyDescent="0.3">
      <c r="A60" s="5">
        <f t="shared" si="2"/>
        <v>44247</v>
      </c>
      <c r="B60" s="4">
        <f t="shared" si="3"/>
        <v>0</v>
      </c>
      <c r="C60" s="88"/>
      <c r="D60" s="4">
        <f t="shared" si="1"/>
        <v>0</v>
      </c>
    </row>
    <row r="61" spans="1:4" x14ac:dyDescent="0.3">
      <c r="A61" s="5">
        <f t="shared" si="2"/>
        <v>44248</v>
      </c>
      <c r="B61" s="4">
        <f t="shared" si="3"/>
        <v>0</v>
      </c>
      <c r="C61" s="88"/>
      <c r="D61" s="4">
        <f t="shared" si="1"/>
        <v>0</v>
      </c>
    </row>
    <row r="62" spans="1:4" x14ac:dyDescent="0.3">
      <c r="A62" s="5">
        <f t="shared" si="2"/>
        <v>44249</v>
      </c>
      <c r="B62" s="4">
        <f t="shared" si="3"/>
        <v>0</v>
      </c>
      <c r="C62" s="88"/>
      <c r="D62" s="4">
        <f t="shared" si="1"/>
        <v>0</v>
      </c>
    </row>
    <row r="63" spans="1:4" x14ac:dyDescent="0.3">
      <c r="A63" s="5">
        <f t="shared" si="2"/>
        <v>44250</v>
      </c>
      <c r="B63" s="4">
        <f t="shared" si="3"/>
        <v>0</v>
      </c>
      <c r="C63" s="88"/>
      <c r="D63" s="4">
        <f t="shared" si="1"/>
        <v>0</v>
      </c>
    </row>
    <row r="64" spans="1:4" x14ac:dyDescent="0.3">
      <c r="A64" s="5">
        <f t="shared" si="2"/>
        <v>44251</v>
      </c>
      <c r="B64" s="4">
        <f t="shared" si="3"/>
        <v>0</v>
      </c>
      <c r="C64" s="88"/>
      <c r="D64" s="4">
        <f t="shared" si="1"/>
        <v>0</v>
      </c>
    </row>
    <row r="65" spans="1:5" x14ac:dyDescent="0.3">
      <c r="A65" s="5">
        <f t="shared" si="2"/>
        <v>44252</v>
      </c>
      <c r="B65" s="4">
        <f t="shared" si="3"/>
        <v>0</v>
      </c>
      <c r="C65" s="88"/>
      <c r="D65" s="4">
        <f t="shared" si="1"/>
        <v>0</v>
      </c>
    </row>
    <row r="66" spans="1:5" x14ac:dyDescent="0.3">
      <c r="A66" s="5">
        <f t="shared" si="2"/>
        <v>44253</v>
      </c>
      <c r="B66" s="4">
        <f t="shared" si="3"/>
        <v>0</v>
      </c>
      <c r="C66" s="88"/>
      <c r="D66" s="4">
        <f t="shared" si="1"/>
        <v>0</v>
      </c>
    </row>
    <row r="67" spans="1:5" x14ac:dyDescent="0.3">
      <c r="A67" s="5">
        <f t="shared" si="2"/>
        <v>44254</v>
      </c>
      <c r="B67" s="4">
        <f t="shared" si="3"/>
        <v>0</v>
      </c>
      <c r="C67" s="88"/>
      <c r="D67" s="4">
        <f t="shared" si="1"/>
        <v>0</v>
      </c>
    </row>
    <row r="68" spans="1:5" x14ac:dyDescent="0.3">
      <c r="A68" s="5">
        <f t="shared" si="2"/>
        <v>44255</v>
      </c>
      <c r="B68" s="4">
        <f t="shared" si="3"/>
        <v>0</v>
      </c>
      <c r="C68" s="88"/>
      <c r="D68" s="4">
        <f t="shared" si="1"/>
        <v>0</v>
      </c>
    </row>
    <row r="69" spans="1:5" x14ac:dyDescent="0.3">
      <c r="A69" s="212"/>
      <c r="B69" s="218"/>
      <c r="C69" s="88"/>
      <c r="D69" s="218"/>
    </row>
    <row r="70" spans="1:5" x14ac:dyDescent="0.3">
      <c r="A70" s="212"/>
      <c r="B70" s="218"/>
      <c r="C70" s="88"/>
      <c r="D70" s="218"/>
    </row>
    <row r="71" spans="1:5" x14ac:dyDescent="0.3">
      <c r="A71" s="212"/>
      <c r="B71" s="218"/>
      <c r="C71" s="88"/>
      <c r="D71" s="218"/>
    </row>
    <row r="72" spans="1:5" x14ac:dyDescent="0.3">
      <c r="A72" s="8" t="s">
        <v>18</v>
      </c>
      <c r="B72" s="9">
        <f>SUM(B41:B71)</f>
        <v>0</v>
      </c>
      <c r="C72" s="185"/>
      <c r="D72" s="9">
        <f>SUM(D41:D71)</f>
        <v>0</v>
      </c>
    </row>
    <row r="73" spans="1:5" x14ac:dyDescent="0.3">
      <c r="A73" s="841"/>
      <c r="B73" s="841"/>
      <c r="C73" s="841"/>
      <c r="D73" s="841"/>
    </row>
    <row r="74" spans="1:5" x14ac:dyDescent="0.3">
      <c r="A74" s="799" t="s">
        <v>46</v>
      </c>
      <c r="B74" s="799"/>
      <c r="C74" s="799"/>
      <c r="D74" s="799"/>
    </row>
    <row r="75" spans="1:5" s="96" customFormat="1" ht="55.95" customHeight="1" x14ac:dyDescent="0.25">
      <c r="A75" s="86" t="s">
        <v>22</v>
      </c>
      <c r="B75" s="83" t="str">
        <f>B5</f>
        <v>002FATR00071795 (C.D 22.02.2021, M.D 22.06.2021)</v>
      </c>
      <c r="C75" s="188"/>
      <c r="D75" s="83" t="s">
        <v>0</v>
      </c>
    </row>
    <row r="76" spans="1:5" x14ac:dyDescent="0.3">
      <c r="A76" s="10" t="s">
        <v>19</v>
      </c>
      <c r="B76" s="82">
        <v>0</v>
      </c>
      <c r="C76" s="82"/>
      <c r="D76" s="4">
        <v>237793.81504087354</v>
      </c>
      <c r="E76" s="64"/>
    </row>
    <row r="77" spans="1:5" x14ac:dyDescent="0.3">
      <c r="A77" s="10" t="s">
        <v>20</v>
      </c>
      <c r="B77" s="4">
        <f>B72</f>
        <v>0</v>
      </c>
      <c r="C77" s="88"/>
      <c r="D77" s="4">
        <f>SUM(B77:C77)</f>
        <v>0</v>
      </c>
    </row>
    <row r="78" spans="1:5" x14ac:dyDescent="0.3">
      <c r="A78" s="10" t="s">
        <v>29</v>
      </c>
      <c r="B78" s="4"/>
      <c r="C78" s="88"/>
      <c r="D78" s="4">
        <f>SUM(B78:C78)</f>
        <v>0</v>
      </c>
    </row>
    <row r="79" spans="1:5" x14ac:dyDescent="0.3">
      <c r="A79" s="10" t="s">
        <v>18</v>
      </c>
      <c r="B79" s="4">
        <f>SUM(B76:B78)</f>
        <v>0</v>
      </c>
      <c r="C79" s="88"/>
      <c r="D79" s="4">
        <f>SUM(B79:C79)</f>
        <v>0</v>
      </c>
    </row>
    <row r="80" spans="1:5" x14ac:dyDescent="0.3">
      <c r="A80" s="796"/>
      <c r="B80" s="796"/>
      <c r="C80" s="796"/>
      <c r="D80" s="796"/>
    </row>
    <row r="81" spans="1:6" x14ac:dyDescent="0.3">
      <c r="A81" s="11" t="s">
        <v>32</v>
      </c>
      <c r="B81" s="12"/>
      <c r="C81" s="82"/>
      <c r="D81" s="12">
        <f>SUM(B81:C81)</f>
        <v>0</v>
      </c>
    </row>
    <row r="82" spans="1:6" x14ac:dyDescent="0.3">
      <c r="A82" s="795"/>
      <c r="B82" s="795"/>
      <c r="C82" s="795"/>
      <c r="D82" s="795"/>
    </row>
    <row r="83" spans="1:6" x14ac:dyDescent="0.3">
      <c r="A83" s="11" t="s">
        <v>11</v>
      </c>
      <c r="B83" s="12"/>
      <c r="C83" s="82"/>
      <c r="D83" s="12">
        <f>SUM(B83:C83)</f>
        <v>0</v>
      </c>
      <c r="F83" s="74"/>
    </row>
    <row r="84" spans="1:6" x14ac:dyDescent="0.3">
      <c r="A84" s="795"/>
      <c r="B84" s="795"/>
      <c r="C84" s="795"/>
      <c r="D84" s="795"/>
    </row>
    <row r="85" spans="1:6" x14ac:dyDescent="0.3">
      <c r="A85" s="59" t="s">
        <v>21</v>
      </c>
      <c r="B85" s="60">
        <f>B72+B83+B78</f>
        <v>0</v>
      </c>
      <c r="C85" s="185"/>
      <c r="D85" s="60">
        <f>SUM(B85:C85)</f>
        <v>0</v>
      </c>
    </row>
    <row r="86" spans="1:6" x14ac:dyDescent="0.3">
      <c r="A86" s="795"/>
      <c r="B86" s="795"/>
      <c r="C86" s="795"/>
      <c r="D86" s="795"/>
    </row>
    <row r="87" spans="1:6" x14ac:dyDescent="0.3">
      <c r="A87" s="109" t="s">
        <v>33</v>
      </c>
      <c r="B87" s="108">
        <f>B79+B83-B81</f>
        <v>0</v>
      </c>
      <c r="C87" s="185"/>
      <c r="D87" s="108">
        <f>D79+D83-D81</f>
        <v>0</v>
      </c>
    </row>
  </sheetData>
  <mergeCells count="9">
    <mergeCell ref="A4:D4"/>
    <mergeCell ref="A37:D37"/>
    <mergeCell ref="A38:D38"/>
    <mergeCell ref="A86:D86"/>
    <mergeCell ref="A73:D73"/>
    <mergeCell ref="A74:D74"/>
    <mergeCell ref="A80:D80"/>
    <mergeCell ref="A82:D82"/>
    <mergeCell ref="A84:D84"/>
  </mergeCells>
  <phoneticPr fontId="10" type="noConversion"/>
  <printOptions horizontalCentered="1" verticalCentered="1"/>
  <pageMargins left="0.25" right="0.25" top="0.5" bottom="0.5" header="0.5" footer="0.5"/>
  <pageSetup scale="40" orientation="landscape" r:id="rId1"/>
  <headerFooter alignWithMargins="0"/>
  <ignoredErrors>
    <ignoredError sqref="D7:D33" formulaRange="1"/>
  </ignoredError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DAC4-B134-4BC0-B4BC-47266F316B2C}">
  <sheetPr codeName="Sheet6">
    <pageSetUpPr fitToPage="1"/>
  </sheetPr>
  <dimension ref="A1:N47"/>
  <sheetViews>
    <sheetView showGridLines="0" zoomScale="96" zoomScaleNormal="100" workbookViewId="0">
      <selection activeCell="H4" sqref="H4:H5"/>
    </sheetView>
  </sheetViews>
  <sheetFormatPr defaultColWidth="10.6328125" defaultRowHeight="13.8" x14ac:dyDescent="0.3"/>
  <cols>
    <col min="1" max="1" width="9.6328125" style="2" customWidth="1"/>
    <col min="2" max="2" width="12.81640625" style="1" customWidth="1"/>
    <col min="3" max="3" width="10.90625" style="1" bestFit="1" customWidth="1"/>
    <col min="4" max="4" width="11" style="1" customWidth="1"/>
    <col min="5" max="5" width="12" style="1" customWidth="1"/>
    <col min="6" max="6" width="0.90625" style="2" customWidth="1"/>
    <col min="7" max="7" width="5.453125" style="2" customWidth="1"/>
    <col min="8" max="8" width="8.6328125" style="2" customWidth="1"/>
    <col min="9" max="9" width="9.81640625" style="2" customWidth="1"/>
    <col min="10" max="10" width="1.90625" style="2" customWidth="1"/>
    <col min="11" max="11" width="11.08984375" style="2" customWidth="1"/>
    <col min="12" max="12" width="11.453125" style="2" bestFit="1" customWidth="1"/>
    <col min="13" max="14" width="11" style="2" bestFit="1" customWidth="1"/>
    <col min="15" max="16384" width="10.6328125" style="2"/>
  </cols>
  <sheetData>
    <row r="1" spans="1:13" ht="18" x14ac:dyDescent="0.35">
      <c r="A1" s="788" t="s">
        <v>34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</row>
    <row r="2" spans="1:13" ht="18.600000000000001" thickBot="1" x14ac:dyDescent="0.4">
      <c r="A2" s="789" t="s">
        <v>114</v>
      </c>
      <c r="B2" s="789"/>
      <c r="C2" s="789"/>
      <c r="D2" s="789"/>
      <c r="E2" s="789"/>
      <c r="F2" s="789"/>
      <c r="G2" s="789"/>
      <c r="H2" s="789"/>
      <c r="I2" s="789"/>
      <c r="J2" s="789"/>
      <c r="K2" s="58" t="e">
        <f>#REF!</f>
        <v>#REF!</v>
      </c>
    </row>
    <row r="3" spans="1:13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790"/>
    </row>
    <row r="4" spans="1:13" ht="15.6" customHeight="1" x14ac:dyDescent="0.3">
      <c r="A4" s="791" t="s">
        <v>4</v>
      </c>
      <c r="B4" s="851" t="s">
        <v>121</v>
      </c>
      <c r="C4" s="92" t="s">
        <v>11</v>
      </c>
      <c r="D4" s="93"/>
      <c r="E4" s="851" t="s">
        <v>122</v>
      </c>
      <c r="G4" s="853" t="s">
        <v>118</v>
      </c>
      <c r="H4" s="845" t="s">
        <v>42</v>
      </c>
      <c r="I4" s="855" t="s">
        <v>119</v>
      </c>
      <c r="J4" s="849"/>
      <c r="K4" s="847" t="s">
        <v>120</v>
      </c>
    </row>
    <row r="5" spans="1:13" x14ac:dyDescent="0.3">
      <c r="A5" s="792"/>
      <c r="B5" s="852"/>
      <c r="C5" s="94" t="s">
        <v>12</v>
      </c>
      <c r="D5" s="94" t="s">
        <v>13</v>
      </c>
      <c r="E5" s="852"/>
      <c r="G5" s="854"/>
      <c r="H5" s="846"/>
      <c r="I5" s="856"/>
      <c r="J5" s="849"/>
      <c r="K5" s="848"/>
    </row>
    <row r="6" spans="1:13" x14ac:dyDescent="0.3">
      <c r="A6" s="5">
        <v>44228</v>
      </c>
      <c r="B6" s="77"/>
      <c r="C6" s="91"/>
      <c r="D6" s="13"/>
      <c r="E6" s="4">
        <f>SUM(B6:D6)</f>
        <v>0</v>
      </c>
      <c r="G6" s="14"/>
      <c r="H6" s="15"/>
      <c r="I6" s="16">
        <f>+H6+G6</f>
        <v>0</v>
      </c>
      <c r="J6" s="137"/>
      <c r="K6" s="17">
        <f>IF(E6&lt;0,0,E6*I6/365)</f>
        <v>0</v>
      </c>
      <c r="L6" s="64"/>
    </row>
    <row r="7" spans="1:13" x14ac:dyDescent="0.3">
      <c r="A7" s="5">
        <v>44229</v>
      </c>
      <c r="B7" s="77"/>
      <c r="C7" s="13"/>
      <c r="D7" s="13"/>
      <c r="E7" s="4">
        <f t="shared" ref="E7:E33" si="0">SUM(B7:D7)</f>
        <v>0</v>
      </c>
      <c r="G7" s="14"/>
      <c r="H7" s="15"/>
      <c r="I7" s="16">
        <f>+H7+G7</f>
        <v>0</v>
      </c>
      <c r="J7" s="137"/>
      <c r="K7" s="17">
        <f t="shared" ref="K7:K33" si="1">IF(E7&lt;0,0,E7*I7/365)</f>
        <v>0</v>
      </c>
      <c r="L7" s="74"/>
    </row>
    <row r="8" spans="1:13" x14ac:dyDescent="0.3">
      <c r="A8" s="5">
        <v>44230</v>
      </c>
      <c r="B8" s="77"/>
      <c r="C8" s="13"/>
      <c r="D8" s="13"/>
      <c r="E8" s="4">
        <f t="shared" si="0"/>
        <v>0</v>
      </c>
      <c r="G8" s="14"/>
      <c r="H8" s="15"/>
      <c r="I8" s="16">
        <f t="shared" ref="I8:I31" si="2">+H8+G8</f>
        <v>0</v>
      </c>
      <c r="J8" s="137"/>
      <c r="K8" s="17">
        <f t="shared" si="1"/>
        <v>0</v>
      </c>
      <c r="L8" s="74"/>
    </row>
    <row r="9" spans="1:13" x14ac:dyDescent="0.3">
      <c r="A9" s="5">
        <v>44231</v>
      </c>
      <c r="B9" s="77"/>
      <c r="C9" s="13"/>
      <c r="D9" s="13"/>
      <c r="E9" s="4">
        <f t="shared" si="0"/>
        <v>0</v>
      </c>
      <c r="G9" s="14"/>
      <c r="H9" s="15"/>
      <c r="I9" s="16">
        <f t="shared" si="2"/>
        <v>0</v>
      </c>
      <c r="J9" s="137"/>
      <c r="K9" s="17">
        <f t="shared" si="1"/>
        <v>0</v>
      </c>
      <c r="L9" s="74"/>
      <c r="M9" s="74"/>
    </row>
    <row r="10" spans="1:13" x14ac:dyDescent="0.3">
      <c r="A10" s="5">
        <v>44232</v>
      </c>
      <c r="B10" s="77"/>
      <c r="C10" s="76"/>
      <c r="D10" s="4"/>
      <c r="E10" s="4">
        <f t="shared" si="0"/>
        <v>0</v>
      </c>
      <c r="G10" s="14"/>
      <c r="H10" s="15"/>
      <c r="I10" s="16">
        <f t="shared" si="2"/>
        <v>0</v>
      </c>
      <c r="J10" s="137"/>
      <c r="K10" s="17">
        <f t="shared" si="1"/>
        <v>0</v>
      </c>
      <c r="L10" s="74"/>
    </row>
    <row r="11" spans="1:13" x14ac:dyDescent="0.3">
      <c r="A11" s="5">
        <v>44233</v>
      </c>
      <c r="B11" s="77"/>
      <c r="C11" s="12"/>
      <c r="D11" s="75"/>
      <c r="E11" s="4">
        <f t="shared" si="0"/>
        <v>0</v>
      </c>
      <c r="G11" s="14"/>
      <c r="H11" s="15"/>
      <c r="I11" s="16">
        <f t="shared" si="2"/>
        <v>0</v>
      </c>
      <c r="J11" s="137"/>
      <c r="K11" s="17">
        <f t="shared" si="1"/>
        <v>0</v>
      </c>
      <c r="L11" s="74"/>
    </row>
    <row r="12" spans="1:13" x14ac:dyDescent="0.3">
      <c r="A12" s="5">
        <v>44234</v>
      </c>
      <c r="B12" s="77"/>
      <c r="C12" s="4"/>
      <c r="D12" s="4"/>
      <c r="E12" s="4">
        <f t="shared" si="0"/>
        <v>0</v>
      </c>
      <c r="G12" s="14"/>
      <c r="H12" s="15"/>
      <c r="I12" s="16">
        <f t="shared" si="2"/>
        <v>0</v>
      </c>
      <c r="J12" s="137"/>
      <c r="K12" s="17">
        <f t="shared" si="1"/>
        <v>0</v>
      </c>
      <c r="L12" s="74"/>
    </row>
    <row r="13" spans="1:13" x14ac:dyDescent="0.3">
      <c r="A13" s="5">
        <v>44235</v>
      </c>
      <c r="B13" s="106"/>
      <c r="C13" s="75"/>
      <c r="D13" s="4"/>
      <c r="E13" s="4">
        <f t="shared" si="0"/>
        <v>0</v>
      </c>
      <c r="G13" s="14"/>
      <c r="H13" s="15"/>
      <c r="I13" s="16">
        <f t="shared" si="2"/>
        <v>0</v>
      </c>
      <c r="J13" s="137"/>
      <c r="K13" s="17">
        <f t="shared" si="1"/>
        <v>0</v>
      </c>
      <c r="L13" s="74"/>
      <c r="M13" s="74"/>
    </row>
    <row r="14" spans="1:13" x14ac:dyDescent="0.3">
      <c r="A14" s="5">
        <v>44236</v>
      </c>
      <c r="B14" s="106"/>
      <c r="C14" s="75"/>
      <c r="D14" s="4"/>
      <c r="E14" s="4">
        <f t="shared" si="0"/>
        <v>0</v>
      </c>
      <c r="G14" s="14"/>
      <c r="H14" s="15"/>
      <c r="I14" s="16">
        <f t="shared" si="2"/>
        <v>0</v>
      </c>
      <c r="J14" s="137"/>
      <c r="K14" s="17">
        <f t="shared" si="1"/>
        <v>0</v>
      </c>
      <c r="L14" s="74"/>
    </row>
    <row r="15" spans="1:13" x14ac:dyDescent="0.3">
      <c r="A15" s="5">
        <v>44237</v>
      </c>
      <c r="B15" s="106"/>
      <c r="C15" s="75"/>
      <c r="D15" s="4"/>
      <c r="E15" s="4">
        <f t="shared" si="0"/>
        <v>0</v>
      </c>
      <c r="G15" s="14"/>
      <c r="H15" s="15"/>
      <c r="I15" s="16">
        <f t="shared" si="2"/>
        <v>0</v>
      </c>
      <c r="J15" s="137"/>
      <c r="K15" s="17">
        <f t="shared" si="1"/>
        <v>0</v>
      </c>
      <c r="L15" s="74"/>
    </row>
    <row r="16" spans="1:13" x14ac:dyDescent="0.3">
      <c r="A16" s="5">
        <v>44238</v>
      </c>
      <c r="B16" s="101"/>
      <c r="C16" s="75"/>
      <c r="D16" s="4"/>
      <c r="E16" s="4">
        <f t="shared" si="0"/>
        <v>0</v>
      </c>
      <c r="G16" s="14"/>
      <c r="H16" s="15"/>
      <c r="I16" s="16">
        <f t="shared" si="2"/>
        <v>0</v>
      </c>
      <c r="J16" s="137"/>
      <c r="K16" s="17">
        <f t="shared" si="1"/>
        <v>0</v>
      </c>
      <c r="L16" s="74"/>
    </row>
    <row r="17" spans="1:14" x14ac:dyDescent="0.3">
      <c r="A17" s="5">
        <v>44239</v>
      </c>
      <c r="B17" s="101"/>
      <c r="C17" s="4"/>
      <c r="D17" s="4"/>
      <c r="E17" s="4">
        <f t="shared" si="0"/>
        <v>0</v>
      </c>
      <c r="G17" s="14"/>
      <c r="H17" s="15"/>
      <c r="I17" s="16">
        <f t="shared" si="2"/>
        <v>0</v>
      </c>
      <c r="J17" s="137"/>
      <c r="K17" s="17">
        <f t="shared" si="1"/>
        <v>0</v>
      </c>
    </row>
    <row r="18" spans="1:14" x14ac:dyDescent="0.3">
      <c r="A18" s="5">
        <v>44240</v>
      </c>
      <c r="B18" s="101"/>
      <c r="C18" s="4"/>
      <c r="D18" s="4"/>
      <c r="E18" s="4">
        <f t="shared" si="0"/>
        <v>0</v>
      </c>
      <c r="G18" s="14"/>
      <c r="H18" s="15"/>
      <c r="I18" s="16">
        <f t="shared" si="2"/>
        <v>0</v>
      </c>
      <c r="J18" s="137"/>
      <c r="K18" s="17">
        <f t="shared" si="1"/>
        <v>0</v>
      </c>
    </row>
    <row r="19" spans="1:14" x14ac:dyDescent="0.3">
      <c r="A19" s="5">
        <v>44241</v>
      </c>
      <c r="B19" s="101"/>
      <c r="C19" s="4"/>
      <c r="D19" s="4"/>
      <c r="E19" s="4">
        <f t="shared" si="0"/>
        <v>0</v>
      </c>
      <c r="G19" s="14"/>
      <c r="H19" s="15"/>
      <c r="I19" s="16">
        <f t="shared" si="2"/>
        <v>0</v>
      </c>
      <c r="J19" s="137"/>
      <c r="K19" s="17">
        <f t="shared" si="1"/>
        <v>0</v>
      </c>
      <c r="N19" s="74"/>
    </row>
    <row r="20" spans="1:14" x14ac:dyDescent="0.3">
      <c r="A20" s="5">
        <v>44242</v>
      </c>
      <c r="B20" s="101"/>
      <c r="C20" s="4"/>
      <c r="D20" s="4"/>
      <c r="E20" s="4">
        <f t="shared" si="0"/>
        <v>0</v>
      </c>
      <c r="G20" s="14"/>
      <c r="H20" s="15"/>
      <c r="I20" s="16">
        <f t="shared" si="2"/>
        <v>0</v>
      </c>
      <c r="J20" s="137"/>
      <c r="K20" s="17">
        <f t="shared" si="1"/>
        <v>0</v>
      </c>
    </row>
    <row r="21" spans="1:14" x14ac:dyDescent="0.3">
      <c r="A21" s="5">
        <v>44243</v>
      </c>
      <c r="B21" s="101"/>
      <c r="C21" s="4"/>
      <c r="D21" s="4"/>
      <c r="E21" s="4">
        <f t="shared" si="0"/>
        <v>0</v>
      </c>
      <c r="G21" s="14"/>
      <c r="H21" s="15"/>
      <c r="I21" s="16">
        <f t="shared" si="2"/>
        <v>0</v>
      </c>
      <c r="J21" s="137"/>
      <c r="K21" s="17">
        <f t="shared" si="1"/>
        <v>0</v>
      </c>
    </row>
    <row r="22" spans="1:14" x14ac:dyDescent="0.3">
      <c r="A22" s="5">
        <v>44244</v>
      </c>
      <c r="B22" s="101"/>
      <c r="C22" s="4"/>
      <c r="D22" s="4"/>
      <c r="E22" s="4">
        <f t="shared" si="0"/>
        <v>0</v>
      </c>
      <c r="G22" s="14"/>
      <c r="H22" s="15"/>
      <c r="I22" s="16">
        <f t="shared" si="2"/>
        <v>0</v>
      </c>
      <c r="J22" s="137"/>
      <c r="K22" s="17">
        <f t="shared" si="1"/>
        <v>0</v>
      </c>
      <c r="L22" s="74"/>
    </row>
    <row r="23" spans="1:14" x14ac:dyDescent="0.3">
      <c r="A23" s="5">
        <v>44245</v>
      </c>
      <c r="B23" s="101"/>
      <c r="C23" s="75"/>
      <c r="D23" s="4"/>
      <c r="E23" s="4">
        <f t="shared" si="0"/>
        <v>0</v>
      </c>
      <c r="G23" s="14"/>
      <c r="H23" s="15"/>
      <c r="I23" s="16">
        <f t="shared" si="2"/>
        <v>0</v>
      </c>
      <c r="J23" s="137"/>
      <c r="K23" s="17">
        <f t="shared" si="1"/>
        <v>0</v>
      </c>
      <c r="L23" s="74"/>
    </row>
    <row r="24" spans="1:14" x14ac:dyDescent="0.3">
      <c r="A24" s="5">
        <v>44246</v>
      </c>
      <c r="B24" s="101"/>
      <c r="C24" s="4"/>
      <c r="D24" s="4"/>
      <c r="E24" s="4">
        <f t="shared" si="0"/>
        <v>0</v>
      </c>
      <c r="G24" s="14"/>
      <c r="H24" s="15"/>
      <c r="I24" s="16">
        <f t="shared" si="2"/>
        <v>0</v>
      </c>
      <c r="J24" s="137"/>
      <c r="K24" s="17">
        <f t="shared" si="1"/>
        <v>0</v>
      </c>
      <c r="L24" s="74"/>
    </row>
    <row r="25" spans="1:14" x14ac:dyDescent="0.3">
      <c r="A25" s="5">
        <v>44247</v>
      </c>
      <c r="B25" s="101"/>
      <c r="C25" s="4"/>
      <c r="D25" s="4"/>
      <c r="E25" s="4">
        <f t="shared" si="0"/>
        <v>0</v>
      </c>
      <c r="G25" s="14"/>
      <c r="H25" s="15"/>
      <c r="I25" s="16">
        <f t="shared" si="2"/>
        <v>0</v>
      </c>
      <c r="J25" s="137"/>
      <c r="K25" s="17">
        <f t="shared" si="1"/>
        <v>0</v>
      </c>
      <c r="L25" s="74"/>
    </row>
    <row r="26" spans="1:14" x14ac:dyDescent="0.3">
      <c r="A26" s="5">
        <v>44248</v>
      </c>
      <c r="B26" s="101"/>
      <c r="C26" s="4"/>
      <c r="D26" s="4"/>
      <c r="E26" s="4">
        <f t="shared" si="0"/>
        <v>0</v>
      </c>
      <c r="G26" s="14"/>
      <c r="H26" s="15"/>
      <c r="I26" s="16">
        <f t="shared" si="2"/>
        <v>0</v>
      </c>
      <c r="J26" s="137"/>
      <c r="K26" s="17">
        <f t="shared" si="1"/>
        <v>0</v>
      </c>
      <c r="L26" s="74"/>
    </row>
    <row r="27" spans="1:14" x14ac:dyDescent="0.3">
      <c r="A27" s="5">
        <v>44249</v>
      </c>
      <c r="B27" s="101"/>
      <c r="C27" s="4"/>
      <c r="D27" s="4"/>
      <c r="E27" s="4">
        <f t="shared" si="0"/>
        <v>0</v>
      </c>
      <c r="G27" s="14"/>
      <c r="H27" s="15"/>
      <c r="I27" s="16">
        <f t="shared" si="2"/>
        <v>0</v>
      </c>
      <c r="J27" s="137"/>
      <c r="K27" s="17">
        <f t="shared" si="1"/>
        <v>0</v>
      </c>
      <c r="L27" s="74"/>
    </row>
    <row r="28" spans="1:14" x14ac:dyDescent="0.3">
      <c r="A28" s="5">
        <v>44250</v>
      </c>
      <c r="B28" s="101"/>
      <c r="C28" s="4"/>
      <c r="D28" s="4"/>
      <c r="E28" s="4">
        <f t="shared" si="0"/>
        <v>0</v>
      </c>
      <c r="G28" s="14"/>
      <c r="H28" s="15"/>
      <c r="I28" s="16">
        <f t="shared" si="2"/>
        <v>0</v>
      </c>
      <c r="J28" s="137"/>
      <c r="K28" s="17">
        <f t="shared" si="1"/>
        <v>0</v>
      </c>
    </row>
    <row r="29" spans="1:14" x14ac:dyDescent="0.3">
      <c r="A29" s="5">
        <v>44251</v>
      </c>
      <c r="B29" s="101"/>
      <c r="C29" s="4"/>
      <c r="D29" s="4"/>
      <c r="E29" s="4">
        <f t="shared" si="0"/>
        <v>0</v>
      </c>
      <c r="G29" s="14"/>
      <c r="H29" s="15"/>
      <c r="I29" s="16">
        <f t="shared" si="2"/>
        <v>0</v>
      </c>
      <c r="J29" s="137"/>
      <c r="K29" s="17">
        <f t="shared" si="1"/>
        <v>0</v>
      </c>
    </row>
    <row r="30" spans="1:14" x14ac:dyDescent="0.3">
      <c r="A30" s="5">
        <v>44252</v>
      </c>
      <c r="B30" s="101"/>
      <c r="C30" s="4"/>
      <c r="D30" s="4"/>
      <c r="E30" s="4">
        <f t="shared" si="0"/>
        <v>0</v>
      </c>
      <c r="G30" s="14"/>
      <c r="H30" s="15"/>
      <c r="I30" s="16">
        <f t="shared" si="2"/>
        <v>0</v>
      </c>
      <c r="J30" s="137"/>
      <c r="K30" s="17">
        <f t="shared" si="1"/>
        <v>0</v>
      </c>
      <c r="L30" s="74"/>
    </row>
    <row r="31" spans="1:14" x14ac:dyDescent="0.3">
      <c r="A31" s="5">
        <v>44253</v>
      </c>
      <c r="B31" s="101"/>
      <c r="C31" s="4"/>
      <c r="D31" s="4"/>
      <c r="E31" s="4">
        <f t="shared" si="0"/>
        <v>0</v>
      </c>
      <c r="G31" s="14"/>
      <c r="H31" s="15"/>
      <c r="I31" s="16">
        <f t="shared" si="2"/>
        <v>0</v>
      </c>
      <c r="J31" s="137"/>
      <c r="K31" s="17">
        <f t="shared" si="1"/>
        <v>0</v>
      </c>
      <c r="L31" s="74"/>
    </row>
    <row r="32" spans="1:14" x14ac:dyDescent="0.3">
      <c r="A32" s="5">
        <v>44254</v>
      </c>
      <c r="B32" s="101"/>
      <c r="C32" s="4"/>
      <c r="D32" s="4"/>
      <c r="E32" s="4">
        <f t="shared" si="0"/>
        <v>0</v>
      </c>
      <c r="G32" s="14"/>
      <c r="H32" s="15"/>
      <c r="I32" s="16">
        <f>+H32+G32</f>
        <v>0</v>
      </c>
      <c r="J32" s="137"/>
      <c r="K32" s="17">
        <f t="shared" si="1"/>
        <v>0</v>
      </c>
      <c r="L32" s="74"/>
    </row>
    <row r="33" spans="1:14" x14ac:dyDescent="0.3">
      <c r="A33" s="5">
        <v>44255</v>
      </c>
      <c r="B33" s="77"/>
      <c r="C33" s="4"/>
      <c r="D33" s="4"/>
      <c r="E33" s="4">
        <f t="shared" si="0"/>
        <v>0</v>
      </c>
      <c r="G33" s="14"/>
      <c r="H33" s="15"/>
      <c r="I33" s="16">
        <f>+H33+G33</f>
        <v>0</v>
      </c>
      <c r="J33" s="137"/>
      <c r="K33" s="17">
        <f t="shared" si="1"/>
        <v>0</v>
      </c>
    </row>
    <row r="34" spans="1:14" x14ac:dyDescent="0.3">
      <c r="A34" s="212"/>
      <c r="B34" s="222"/>
      <c r="C34" s="218"/>
      <c r="D34" s="218"/>
      <c r="E34" s="218"/>
      <c r="F34" s="64"/>
      <c r="G34" s="221"/>
      <c r="H34" s="217"/>
      <c r="I34" s="219"/>
      <c r="J34" s="208"/>
      <c r="K34" s="220"/>
      <c r="L34" s="74"/>
    </row>
    <row r="35" spans="1:14" x14ac:dyDescent="0.3">
      <c r="A35" s="212"/>
      <c r="B35" s="222"/>
      <c r="C35" s="218"/>
      <c r="D35" s="218"/>
      <c r="E35" s="218"/>
      <c r="F35" s="64"/>
      <c r="G35" s="221"/>
      <c r="H35" s="217"/>
      <c r="I35" s="219"/>
      <c r="J35" s="208"/>
      <c r="K35" s="220"/>
    </row>
    <row r="36" spans="1:14" x14ac:dyDescent="0.3">
      <c r="A36" s="212"/>
      <c r="B36" s="222"/>
      <c r="C36" s="218"/>
      <c r="D36" s="218"/>
      <c r="E36" s="218"/>
      <c r="F36" s="64"/>
      <c r="G36" s="221"/>
      <c r="H36" s="217"/>
      <c r="I36" s="219"/>
      <c r="J36" s="208"/>
      <c r="K36" s="220"/>
      <c r="L36" s="119"/>
    </row>
    <row r="37" spans="1:14" x14ac:dyDescent="0.3">
      <c r="G37" s="110"/>
      <c r="H37" s="80"/>
      <c r="I37" s="19"/>
      <c r="K37" s="18">
        <f>SUM(K6:K36)</f>
        <v>0</v>
      </c>
    </row>
    <row r="38" spans="1:14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  <c r="K38" s="795"/>
    </row>
    <row r="39" spans="1:14" x14ac:dyDescent="0.3">
      <c r="G39" s="783" t="s">
        <v>24</v>
      </c>
      <c r="H39" s="783"/>
      <c r="I39" s="783"/>
      <c r="J39" s="203"/>
    </row>
    <row r="40" spans="1:14" x14ac:dyDescent="0.3">
      <c r="G40" s="850"/>
      <c r="H40" s="850"/>
      <c r="I40" s="850"/>
      <c r="J40" s="850"/>
      <c r="K40" s="204" t="s">
        <v>0</v>
      </c>
    </row>
    <row r="41" spans="1:14" x14ac:dyDescent="0.3">
      <c r="G41" s="785" t="s">
        <v>19</v>
      </c>
      <c r="H41" s="785"/>
      <c r="I41" s="785"/>
      <c r="J41" s="842"/>
      <c r="K41" s="205">
        <v>507380.723273715</v>
      </c>
      <c r="L41" s="64"/>
    </row>
    <row r="42" spans="1:14" x14ac:dyDescent="0.3">
      <c r="G42" s="785" t="s">
        <v>40</v>
      </c>
      <c r="H42" s="785"/>
      <c r="I42" s="785"/>
      <c r="J42" s="842"/>
      <c r="K42" s="216"/>
      <c r="L42" s="120"/>
    </row>
    <row r="43" spans="1:14" x14ac:dyDescent="0.3">
      <c r="B43" s="2"/>
      <c r="D43" s="2"/>
      <c r="G43" s="843" t="str">
        <f>IF(K43&lt;0,"Excess Provision to be Reversed","Additional Provision Required")</f>
        <v>Additional Provision Required</v>
      </c>
      <c r="H43" s="843"/>
      <c r="I43" s="843"/>
      <c r="J43" s="843"/>
      <c r="K43" s="206">
        <f>IF(K42=0,0,K42-K41)</f>
        <v>0</v>
      </c>
      <c r="N43" s="74"/>
    </row>
    <row r="44" spans="1:14" x14ac:dyDescent="0.3">
      <c r="G44" s="784"/>
      <c r="H44" s="784"/>
      <c r="I44" s="784"/>
      <c r="J44" s="784"/>
      <c r="K44" s="784"/>
    </row>
    <row r="45" spans="1:14" ht="16.2" customHeight="1" thickBot="1" x14ac:dyDescent="0.35">
      <c r="G45" s="780" t="s">
        <v>145</v>
      </c>
      <c r="H45" s="780"/>
      <c r="I45" s="780"/>
      <c r="J45" s="780"/>
      <c r="K45" s="207">
        <f>K37+K43</f>
        <v>0</v>
      </c>
    </row>
    <row r="46" spans="1:14" x14ac:dyDescent="0.3">
      <c r="G46" s="781"/>
      <c r="H46" s="781"/>
      <c r="I46" s="781"/>
      <c r="J46" s="781"/>
      <c r="K46" s="781"/>
    </row>
    <row r="47" spans="1:14" x14ac:dyDescent="0.3">
      <c r="G47" s="844" t="s">
        <v>33</v>
      </c>
      <c r="H47" s="844"/>
      <c r="I47" s="844"/>
      <c r="J47" s="844"/>
      <c r="K47" s="112">
        <f>K41+K45-K42</f>
        <v>507380.723273715</v>
      </c>
    </row>
  </sheetData>
  <mergeCells count="21">
    <mergeCell ref="G40:J40"/>
    <mergeCell ref="A4:A5"/>
    <mergeCell ref="B4:B5"/>
    <mergeCell ref="E4:E5"/>
    <mergeCell ref="G4:G5"/>
    <mergeCell ref="I4:I5"/>
    <mergeCell ref="A1:K1"/>
    <mergeCell ref="A2:J2"/>
    <mergeCell ref="A3:K3"/>
    <mergeCell ref="A38:K38"/>
    <mergeCell ref="G39:I39"/>
    <mergeCell ref="H4:H5"/>
    <mergeCell ref="K4:K5"/>
    <mergeCell ref="J4:J5"/>
    <mergeCell ref="G41:J41"/>
    <mergeCell ref="G42:J42"/>
    <mergeCell ref="G43:J43"/>
    <mergeCell ref="G45:J45"/>
    <mergeCell ref="G47:J47"/>
    <mergeCell ref="G44:K44"/>
    <mergeCell ref="G46:K46"/>
  </mergeCells>
  <phoneticPr fontId="3" type="noConversion"/>
  <printOptions horizontalCentered="1" verticalCentered="1"/>
  <pageMargins left="0.75" right="0.75" top="0.5" bottom="0.5" header="0.5" footer="0.5"/>
  <pageSetup scale="79" orientation="landscape" horizontalDpi="300" verticalDpi="300" r:id="rId1"/>
  <headerFooter alignWithMargins="0"/>
  <ignoredErrors>
    <ignoredError sqref="E6:E33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A319-FD76-4C0F-8A90-4BE56357ED04}">
  <sheetPr transitionEvaluation="1">
    <pageSetUpPr fitToPage="1"/>
  </sheetPr>
  <dimension ref="A1:L24"/>
  <sheetViews>
    <sheetView showGridLines="0" tabSelected="1" defaultGridColor="0" colorId="22" zoomScaleNormal="100" workbookViewId="0">
      <selection activeCell="H9" sqref="H9"/>
    </sheetView>
  </sheetViews>
  <sheetFormatPr defaultColWidth="10.6328125" defaultRowHeight="15.6" x14ac:dyDescent="0.3"/>
  <cols>
    <col min="1" max="1" width="28.36328125" style="22" customWidth="1"/>
    <col min="2" max="2" width="17.81640625" style="22" customWidth="1"/>
    <col min="3" max="3" width="13" style="22" customWidth="1"/>
    <col min="4" max="4" width="10.6328125" style="22" customWidth="1"/>
    <col min="5" max="5" width="14.08984375" style="22" customWidth="1"/>
    <col min="6" max="6" width="12.1796875" style="22" customWidth="1"/>
    <col min="7" max="8" width="13.1796875" style="22" customWidth="1"/>
    <col min="9" max="9" width="13.6328125" style="22" customWidth="1"/>
    <col min="10" max="10" width="10.6328125" style="22"/>
    <col min="11" max="11" width="15.08984375" style="22" bestFit="1" customWidth="1"/>
    <col min="12" max="12" width="14.7265625" style="22" customWidth="1"/>
    <col min="13" max="16384" width="10.6328125" style="22"/>
  </cols>
  <sheetData>
    <row r="1" spans="1:12" ht="25.8" x14ac:dyDescent="0.5">
      <c r="A1" s="732" t="s">
        <v>174</v>
      </c>
      <c r="B1" s="732"/>
      <c r="C1" s="732"/>
      <c r="D1" s="732"/>
      <c r="E1" s="732"/>
      <c r="F1" s="732"/>
      <c r="G1" s="732"/>
      <c r="H1" s="732"/>
      <c r="I1" s="732"/>
    </row>
    <row r="2" spans="1:12" ht="21.6" thickBot="1" x14ac:dyDescent="0.45">
      <c r="A2" s="733" t="s">
        <v>27</v>
      </c>
      <c r="B2" s="733"/>
      <c r="C2" s="733"/>
      <c r="D2" s="733"/>
      <c r="E2" s="733"/>
      <c r="F2" s="733"/>
      <c r="G2" s="733"/>
      <c r="H2" s="733"/>
      <c r="I2" s="57">
        <v>46204</v>
      </c>
    </row>
    <row r="3" spans="1:12" x14ac:dyDescent="0.3">
      <c r="A3" s="266"/>
      <c r="B3" s="266"/>
      <c r="C3" s="266"/>
      <c r="D3" s="266"/>
      <c r="E3" s="266"/>
      <c r="F3" s="266"/>
      <c r="G3" s="266"/>
      <c r="H3" s="266"/>
      <c r="I3" s="266"/>
    </row>
    <row r="4" spans="1:12" ht="64.2" customHeight="1" x14ac:dyDescent="0.3">
      <c r="A4" s="267" t="s">
        <v>25</v>
      </c>
      <c r="B4" s="268" t="s">
        <v>36</v>
      </c>
      <c r="C4" s="268" t="s">
        <v>30</v>
      </c>
      <c r="D4" s="268" t="s">
        <v>28</v>
      </c>
      <c r="E4" s="268" t="s">
        <v>41</v>
      </c>
      <c r="F4" s="268" t="s">
        <v>37</v>
      </c>
      <c r="G4" s="268" t="s">
        <v>31</v>
      </c>
      <c r="H4" s="268" t="s">
        <v>38</v>
      </c>
      <c r="I4" s="268" t="s">
        <v>1</v>
      </c>
    </row>
    <row r="5" spans="1:12" s="418" customFormat="1" x14ac:dyDescent="0.3">
      <c r="A5" s="417" t="s">
        <v>182</v>
      </c>
      <c r="B5" s="660">
        <v>0</v>
      </c>
      <c r="C5" s="660">
        <f>'MCB-FATR '!C76</f>
        <v>0</v>
      </c>
      <c r="D5" s="460">
        <f t="shared" ref="D5:D16" si="0">C5-B5</f>
        <v>0</v>
      </c>
      <c r="E5" s="660">
        <f>'MCB-FATR '!C85</f>
        <v>0</v>
      </c>
      <c r="F5" s="460">
        <f t="shared" ref="F5:F15" si="1">SUM(D5:E5)</f>
        <v>0</v>
      </c>
      <c r="G5" s="460">
        <f t="shared" ref="G5:G10" si="2">F5+B5</f>
        <v>0</v>
      </c>
      <c r="H5" s="660">
        <f>'MCB-FATR '!C81</f>
        <v>0</v>
      </c>
      <c r="I5" s="460">
        <f t="shared" ref="I5:I10" si="3">G5-H5</f>
        <v>0</v>
      </c>
    </row>
    <row r="6" spans="1:12" x14ac:dyDescent="0.3">
      <c r="A6" s="322" t="s">
        <v>183</v>
      </c>
      <c r="B6" s="660">
        <v>183194.71393341635</v>
      </c>
      <c r="C6" s="660">
        <f>'MCB-RF '!J41</f>
        <v>183194.71393341635</v>
      </c>
      <c r="D6" s="460">
        <f t="shared" si="0"/>
        <v>0</v>
      </c>
      <c r="E6" s="660">
        <f>'MCB-RF '!J45</f>
        <v>33942.217228345078</v>
      </c>
      <c r="F6" s="460">
        <f t="shared" si="1"/>
        <v>33942.217228345078</v>
      </c>
      <c r="G6" s="460">
        <f>F6+B6</f>
        <v>217136.93116176143</v>
      </c>
      <c r="H6" s="724">
        <f>'MCB-RF '!J42</f>
        <v>195347.06</v>
      </c>
      <c r="I6" s="460">
        <f>G6-H6</f>
        <v>21789.871161761432</v>
      </c>
    </row>
    <row r="7" spans="1:12" x14ac:dyDescent="0.3">
      <c r="A7" s="322" t="s">
        <v>170</v>
      </c>
      <c r="B7" s="460">
        <v>0</v>
      </c>
      <c r="C7" s="460">
        <f>'SONERI-FATR'!C76</f>
        <v>0</v>
      </c>
      <c r="D7" s="460">
        <f t="shared" si="0"/>
        <v>0</v>
      </c>
      <c r="E7" s="460">
        <f>'SONERI-FATR'!C85</f>
        <v>0</v>
      </c>
      <c r="F7" s="460">
        <f t="shared" si="1"/>
        <v>0</v>
      </c>
      <c r="G7" s="460">
        <f t="shared" si="2"/>
        <v>0</v>
      </c>
      <c r="H7" s="725">
        <f>'SONERI-FATR'!C81</f>
        <v>0</v>
      </c>
      <c r="I7" s="460">
        <f t="shared" si="3"/>
        <v>0</v>
      </c>
      <c r="J7" s="269"/>
      <c r="K7" s="72"/>
      <c r="L7" s="71"/>
    </row>
    <row r="8" spans="1:12" x14ac:dyDescent="0.3">
      <c r="A8" s="322" t="s">
        <v>171</v>
      </c>
      <c r="B8" s="460">
        <v>406114.96916672867</v>
      </c>
      <c r="C8" s="460">
        <f>+'SONERI-RF '!J41</f>
        <v>406114.96916672867</v>
      </c>
      <c r="D8" s="460">
        <f t="shared" si="0"/>
        <v>0</v>
      </c>
      <c r="E8" s="460">
        <f>'SONERI-RF '!J45</f>
        <v>272517.95922176447</v>
      </c>
      <c r="F8" s="460">
        <f t="shared" si="1"/>
        <v>272517.95922176447</v>
      </c>
      <c r="G8" s="460">
        <f t="shared" si="2"/>
        <v>678632.92838849314</v>
      </c>
      <c r="H8" s="726">
        <f>'SONERI-RF '!J42</f>
        <v>406210.48</v>
      </c>
      <c r="I8" s="460">
        <f t="shared" si="3"/>
        <v>272422.44838849315</v>
      </c>
      <c r="J8" s="270"/>
      <c r="K8" s="72"/>
      <c r="L8" s="71"/>
    </row>
    <row r="9" spans="1:12" x14ac:dyDescent="0.3">
      <c r="A9" s="322" t="s">
        <v>198</v>
      </c>
      <c r="B9" s="460">
        <v>541041.30690123839</v>
      </c>
      <c r="C9" s="460">
        <f>'BOP - RF'!J41</f>
        <v>541041.30690123839</v>
      </c>
      <c r="D9" s="460">
        <f t="shared" si="0"/>
        <v>0</v>
      </c>
      <c r="E9" s="460">
        <f>'BOP - RF'!J45</f>
        <v>454171.53445789573</v>
      </c>
      <c r="F9" s="460">
        <f t="shared" si="1"/>
        <v>454171.53445789573</v>
      </c>
      <c r="G9" s="460">
        <f t="shared" si="2"/>
        <v>995212.84135913406</v>
      </c>
      <c r="H9" s="725">
        <f>'BOP - RF'!J42</f>
        <v>541033.89</v>
      </c>
      <c r="I9" s="460">
        <f t="shared" si="3"/>
        <v>454178.95135913405</v>
      </c>
      <c r="J9" s="270"/>
      <c r="K9" s="72"/>
      <c r="L9" s="71"/>
    </row>
    <row r="10" spans="1:12" x14ac:dyDescent="0.3">
      <c r="A10" s="322" t="s">
        <v>199</v>
      </c>
      <c r="B10" s="460">
        <v>-2.2961642825976014E-3</v>
      </c>
      <c r="C10" s="460">
        <f>'BOP - FATR'!E76</f>
        <v>0</v>
      </c>
      <c r="D10" s="460">
        <f t="shared" si="0"/>
        <v>2.2961642825976014E-3</v>
      </c>
      <c r="E10" s="460">
        <f>'BOP - FATR'!E85</f>
        <v>0</v>
      </c>
      <c r="F10" s="460">
        <f t="shared" si="1"/>
        <v>2.2961642825976014E-3</v>
      </c>
      <c r="G10" s="460">
        <f t="shared" si="2"/>
        <v>0</v>
      </c>
      <c r="H10" s="726">
        <f>'BOP - FATR'!E81</f>
        <v>0</v>
      </c>
      <c r="I10" s="460">
        <f t="shared" si="3"/>
        <v>0</v>
      </c>
      <c r="J10" s="270"/>
      <c r="K10" s="72"/>
      <c r="L10" s="71"/>
    </row>
    <row r="11" spans="1:12" x14ac:dyDescent="0.3">
      <c r="A11" s="322" t="s">
        <v>216</v>
      </c>
      <c r="B11" s="460">
        <v>0</v>
      </c>
      <c r="C11" s="460">
        <f>+'BIPL-RF'!J41</f>
        <v>0</v>
      </c>
      <c r="D11" s="460">
        <f t="shared" si="0"/>
        <v>0</v>
      </c>
      <c r="E11" s="460">
        <f>+'BIPL-RF'!J45</f>
        <v>0</v>
      </c>
      <c r="F11" s="460">
        <f t="shared" si="1"/>
        <v>0</v>
      </c>
      <c r="G11" s="460">
        <f t="shared" ref="G11:G16" si="4">F11+B11</f>
        <v>0</v>
      </c>
      <c r="H11" s="726">
        <f>'BIPL-RF'!J42</f>
        <v>0</v>
      </c>
      <c r="I11" s="460">
        <f t="shared" ref="I11:I16" si="5">G11-H11</f>
        <v>0</v>
      </c>
      <c r="J11" s="270"/>
      <c r="K11" s="72"/>
      <c r="L11" s="71"/>
    </row>
    <row r="12" spans="1:12" x14ac:dyDescent="0.3">
      <c r="A12" s="322" t="s">
        <v>217</v>
      </c>
      <c r="B12" s="460">
        <v>0</v>
      </c>
      <c r="C12" s="460">
        <f>+'BIPL-FATR'!C76</f>
        <v>0</v>
      </c>
      <c r="D12" s="460">
        <f t="shared" si="0"/>
        <v>0</v>
      </c>
      <c r="E12" s="460">
        <f>+'BIPL-FATR'!C85</f>
        <v>0</v>
      </c>
      <c r="F12" s="460">
        <f t="shared" si="1"/>
        <v>0</v>
      </c>
      <c r="G12" s="460">
        <f t="shared" si="4"/>
        <v>0</v>
      </c>
      <c r="H12" s="726">
        <f>'BIPL-FATR'!C81</f>
        <v>0</v>
      </c>
      <c r="I12" s="460">
        <f t="shared" si="5"/>
        <v>0</v>
      </c>
      <c r="J12" s="270"/>
      <c r="K12" s="72"/>
      <c r="L12" s="71"/>
    </row>
    <row r="13" spans="1:12" x14ac:dyDescent="0.3">
      <c r="A13" s="322" t="s">
        <v>252</v>
      </c>
      <c r="B13" s="460">
        <v>0</v>
      </c>
      <c r="C13" s="460">
        <f>'MBL-Musawammah'!C76</f>
        <v>0</v>
      </c>
      <c r="D13" s="460">
        <f t="shared" si="0"/>
        <v>0</v>
      </c>
      <c r="E13" s="460">
        <f>'MBL-Musawammah'!C77</f>
        <v>0</v>
      </c>
      <c r="F13" s="460">
        <f t="shared" si="1"/>
        <v>0</v>
      </c>
      <c r="G13" s="460">
        <f t="shared" si="4"/>
        <v>0</v>
      </c>
      <c r="H13" s="726">
        <f>'MBL-Musawammah'!C81</f>
        <v>0</v>
      </c>
      <c r="I13" s="460">
        <f t="shared" si="5"/>
        <v>0</v>
      </c>
      <c r="J13" s="270"/>
      <c r="K13" s="72"/>
      <c r="L13" s="71"/>
    </row>
    <row r="14" spans="1:12" x14ac:dyDescent="0.3">
      <c r="A14" s="322" t="s">
        <v>218</v>
      </c>
      <c r="B14" s="460">
        <v>1752280.0657906849</v>
      </c>
      <c r="C14" s="460">
        <f>+PBICL!H41</f>
        <v>1752280.0657906849</v>
      </c>
      <c r="D14" s="460">
        <f t="shared" si="0"/>
        <v>0</v>
      </c>
      <c r="E14" s="460">
        <f>+PBICL!H45</f>
        <v>1810751.9076624655</v>
      </c>
      <c r="F14" s="460">
        <f>SUM(D14:E14)</f>
        <v>1810751.9076624655</v>
      </c>
      <c r="G14" s="460">
        <f t="shared" si="4"/>
        <v>3563031.9734531501</v>
      </c>
      <c r="H14" s="726">
        <f>PBICL!H42</f>
        <v>0</v>
      </c>
      <c r="I14" s="460">
        <f t="shared" si="5"/>
        <v>3563031.9734531501</v>
      </c>
      <c r="J14" s="270"/>
      <c r="K14" s="72"/>
      <c r="L14" s="71"/>
    </row>
    <row r="15" spans="1:12" x14ac:dyDescent="0.3">
      <c r="A15" s="322" t="s">
        <v>333</v>
      </c>
      <c r="B15" s="460">
        <v>3080082.1850000001</v>
      </c>
      <c r="C15" s="460">
        <f>'FBL-ISTISNA'!C76</f>
        <v>3080082.191780821</v>
      </c>
      <c r="D15" s="460">
        <f t="shared" si="0"/>
        <v>6.7808208987116814E-3</v>
      </c>
      <c r="E15" s="460">
        <f>'FBL-ISTISNA'!C77</f>
        <v>984356.16438356123</v>
      </c>
      <c r="F15" s="460">
        <f t="shared" si="1"/>
        <v>984356.17116438213</v>
      </c>
      <c r="G15" s="460">
        <f t="shared" si="4"/>
        <v>4064438.3561643823</v>
      </c>
      <c r="H15" s="726">
        <f>'FBL-ISTISNA'!C81</f>
        <v>0</v>
      </c>
      <c r="I15" s="460">
        <f t="shared" si="5"/>
        <v>4064438.3561643823</v>
      </c>
      <c r="J15" s="270"/>
      <c r="K15" s="72"/>
      <c r="L15" s="71"/>
    </row>
    <row r="16" spans="1:12" x14ac:dyDescent="0.3">
      <c r="A16" s="322" t="s">
        <v>234</v>
      </c>
      <c r="B16" s="460">
        <v>902473.23718136991</v>
      </c>
      <c r="C16" s="460">
        <f>'NBP-ISLAMIC'!J41</f>
        <v>902473.23718136991</v>
      </c>
      <c r="D16" s="460">
        <f t="shared" si="0"/>
        <v>0</v>
      </c>
      <c r="E16" s="460">
        <f>'NBP-ISLAMIC'!J45</f>
        <v>2322213.6493326025</v>
      </c>
      <c r="F16" s="460">
        <f>SUM(D16:E16)</f>
        <v>2322213.6493326025</v>
      </c>
      <c r="G16" s="460">
        <f t="shared" si="4"/>
        <v>3224686.8865139727</v>
      </c>
      <c r="H16" s="725">
        <f>'NBP-ISLAMIC'!J42</f>
        <v>902474</v>
      </c>
      <c r="I16" s="460">
        <f t="shared" si="5"/>
        <v>2322212.8865139727</v>
      </c>
      <c r="J16" s="270"/>
      <c r="K16" s="72"/>
      <c r="L16" s="71"/>
    </row>
    <row r="17" spans="1:12" x14ac:dyDescent="0.3">
      <c r="A17" s="323" t="s">
        <v>26</v>
      </c>
      <c r="B17" s="342">
        <f t="shared" ref="B17:I17" si="6">SUM(B5:B16)</f>
        <v>6865186.4756772742</v>
      </c>
      <c r="C17" s="342">
        <f t="shared" si="6"/>
        <v>6865186.4847542597</v>
      </c>
      <c r="D17" s="342">
        <f t="shared" si="6"/>
        <v>9.0769851813092828E-3</v>
      </c>
      <c r="E17" s="342">
        <f t="shared" si="6"/>
        <v>5877953.432286635</v>
      </c>
      <c r="F17" s="342">
        <f t="shared" si="6"/>
        <v>5877953.4413636196</v>
      </c>
      <c r="G17" s="342">
        <f t="shared" si="6"/>
        <v>12743139.917040894</v>
      </c>
      <c r="H17" s="342">
        <f t="shared" si="6"/>
        <v>2045065.4300000002</v>
      </c>
      <c r="I17" s="342">
        <f t="shared" si="6"/>
        <v>10698074.487040894</v>
      </c>
      <c r="L17" s="71"/>
    </row>
    <row r="18" spans="1:12" x14ac:dyDescent="0.3">
      <c r="F18" s="71"/>
    </row>
    <row r="19" spans="1:12" x14ac:dyDescent="0.3">
      <c r="A19" s="270"/>
      <c r="B19" s="271"/>
      <c r="C19" s="271"/>
      <c r="F19" s="661"/>
    </row>
    <row r="20" spans="1:12" x14ac:dyDescent="0.3">
      <c r="A20" s="270"/>
      <c r="B20" s="271"/>
      <c r="C20" s="271"/>
    </row>
    <row r="21" spans="1:12" x14ac:dyDescent="0.3">
      <c r="A21" s="270"/>
      <c r="B21" s="272"/>
      <c r="C21" s="271"/>
    </row>
    <row r="22" spans="1:12" x14ac:dyDescent="0.3">
      <c r="A22" s="270"/>
      <c r="B22" s="271"/>
      <c r="C22" s="271"/>
    </row>
    <row r="23" spans="1:12" x14ac:dyDescent="0.3">
      <c r="A23" s="270"/>
      <c r="B23" s="271"/>
      <c r="C23" s="271"/>
    </row>
    <row r="24" spans="1:12" x14ac:dyDescent="0.3">
      <c r="A24" s="270"/>
      <c r="B24" s="270"/>
      <c r="C24" s="270"/>
    </row>
  </sheetData>
  <mergeCells count="2">
    <mergeCell ref="A1:I1"/>
    <mergeCell ref="A2:H2"/>
  </mergeCells>
  <printOptions horizontalCentered="1" verticalCentered="1"/>
  <pageMargins left="0.5" right="0.5" top="0.5" bottom="0.5" header="0.5" footer="0.5"/>
  <pageSetup scale="78" orientation="landscape" horizontalDpi="4294967295" verticalDpi="4294967295" r:id="rId1"/>
  <headerFooter alignWithMargins="0">
    <oddFooter>&amp;L&amp;D  ^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C164-E70B-4F76-A811-D50BA5B41DAE}">
  <dimension ref="A1:C47"/>
  <sheetViews>
    <sheetView view="pageBreakPreview" topLeftCell="A11" zoomScaleNormal="100" zoomScaleSheetLayoutView="100" workbookViewId="0">
      <selection activeCell="B30" sqref="B30"/>
    </sheetView>
  </sheetViews>
  <sheetFormatPr defaultRowHeight="15" x14ac:dyDescent="0.25"/>
  <cols>
    <col min="1" max="1" width="16.6328125" customWidth="1"/>
    <col min="2" max="2" width="17.54296875" customWidth="1"/>
  </cols>
  <sheetData>
    <row r="1" spans="1:3" ht="5.4" customHeight="1" x14ac:dyDescent="0.25">
      <c r="A1" s="738"/>
      <c r="B1" s="739"/>
    </row>
    <row r="2" spans="1:3" ht="15.6" x14ac:dyDescent="0.3">
      <c r="A2" s="734" t="s">
        <v>152</v>
      </c>
      <c r="B2" s="735"/>
    </row>
    <row r="3" spans="1:3" ht="15.6" x14ac:dyDescent="0.3">
      <c r="A3" s="734" t="s">
        <v>47</v>
      </c>
      <c r="B3" s="735"/>
    </row>
    <row r="4" spans="1:3" ht="15.6" x14ac:dyDescent="0.3">
      <c r="A4" s="736">
        <v>46212</v>
      </c>
      <c r="B4" s="737"/>
    </row>
    <row r="5" spans="1:3" ht="15.6" x14ac:dyDescent="0.25">
      <c r="A5" s="368" t="s">
        <v>194</v>
      </c>
      <c r="B5" s="369" t="s">
        <v>193</v>
      </c>
    </row>
    <row r="6" spans="1:3" ht="13.2" hidden="1" customHeight="1" x14ac:dyDescent="0.25">
      <c r="A6" s="370"/>
      <c r="B6" s="371"/>
    </row>
    <row r="7" spans="1:3" ht="15.6" hidden="1" x14ac:dyDescent="0.25">
      <c r="A7" s="372" t="s">
        <v>128</v>
      </c>
      <c r="B7" s="373">
        <v>0</v>
      </c>
    </row>
    <row r="8" spans="1:3" ht="31.2" hidden="1" x14ac:dyDescent="0.25">
      <c r="A8" s="374" t="s">
        <v>129</v>
      </c>
      <c r="B8" s="375">
        <v>0</v>
      </c>
    </row>
    <row r="9" spans="1:3" ht="31.2" hidden="1" x14ac:dyDescent="0.25">
      <c r="A9" s="374" t="s">
        <v>130</v>
      </c>
      <c r="B9" s="375">
        <v>0</v>
      </c>
    </row>
    <row r="10" spans="1:3" ht="19.8" hidden="1" customHeight="1" x14ac:dyDescent="0.25">
      <c r="A10" s="374" t="s">
        <v>131</v>
      </c>
      <c r="B10" s="375">
        <v>0</v>
      </c>
    </row>
    <row r="11" spans="1:3" ht="12.6" customHeight="1" x14ac:dyDescent="0.25">
      <c r="A11" s="376"/>
      <c r="B11" s="377"/>
    </row>
    <row r="12" spans="1:3" ht="25.05" customHeight="1" x14ac:dyDescent="0.25">
      <c r="A12" s="378" t="s">
        <v>191</v>
      </c>
      <c r="B12" s="379">
        <f>'BORROWING SUMMARY '!J8/1000000</f>
        <v>1650</v>
      </c>
    </row>
    <row r="13" spans="1:3" ht="25.05" customHeight="1" x14ac:dyDescent="0.25">
      <c r="A13" s="378" t="s">
        <v>168</v>
      </c>
      <c r="B13" s="379">
        <f>'BORROWING SUMMARY '!J9/1000000</f>
        <v>49</v>
      </c>
    </row>
    <row r="14" spans="1:3" ht="23.4" customHeight="1" x14ac:dyDescent="0.25">
      <c r="A14" s="378" t="s">
        <v>192</v>
      </c>
      <c r="B14" s="379">
        <f>+B12-B13-B17</f>
        <v>1601</v>
      </c>
      <c r="C14" s="528"/>
    </row>
    <row r="15" spans="1:3" ht="13.2" customHeight="1" x14ac:dyDescent="0.25">
      <c r="A15" s="376"/>
      <c r="B15" s="377"/>
    </row>
    <row r="16" spans="1:3" ht="15" customHeight="1" x14ac:dyDescent="0.25">
      <c r="A16" s="380" t="s">
        <v>132</v>
      </c>
      <c r="B16" s="381">
        <f>'BORROWING SUMMARY '!J16/1000000</f>
        <v>1650</v>
      </c>
    </row>
    <row r="17" spans="1:2" ht="15.6" x14ac:dyDescent="0.25">
      <c r="A17" s="380" t="s">
        <v>133</v>
      </c>
      <c r="B17" s="381">
        <f>'BORROWING SUMMARY '!J17/1000000</f>
        <v>0</v>
      </c>
    </row>
    <row r="18" spans="1:2" ht="12" customHeight="1" x14ac:dyDescent="0.25">
      <c r="A18" s="376"/>
      <c r="B18" s="377"/>
    </row>
    <row r="19" spans="1:2" ht="15.6" hidden="1" x14ac:dyDescent="0.25">
      <c r="A19" s="382" t="s">
        <v>134</v>
      </c>
      <c r="B19" s="383">
        <v>0</v>
      </c>
    </row>
    <row r="20" spans="1:2" ht="19.8" hidden="1" customHeight="1" thickBot="1" x14ac:dyDescent="0.3">
      <c r="A20" s="382" t="s">
        <v>135</v>
      </c>
      <c r="B20" s="384">
        <v>0</v>
      </c>
    </row>
    <row r="21" spans="1:2" ht="19.8" hidden="1" customHeight="1" thickBot="1" x14ac:dyDescent="0.3">
      <c r="A21" s="382" t="s">
        <v>136</v>
      </c>
      <c r="B21" s="384">
        <v>0</v>
      </c>
    </row>
    <row r="22" spans="1:2" ht="21.6" hidden="1" customHeight="1" thickBot="1" x14ac:dyDescent="0.3">
      <c r="A22" s="382" t="s">
        <v>137</v>
      </c>
      <c r="B22" s="384">
        <v>0</v>
      </c>
    </row>
    <row r="23" spans="1:2" ht="13.2" hidden="1" customHeight="1" thickBot="1" x14ac:dyDescent="0.3">
      <c r="A23" s="376"/>
      <c r="B23" s="377"/>
    </row>
    <row r="24" spans="1:2" ht="15.6" x14ac:dyDescent="0.25">
      <c r="A24" s="385" t="s">
        <v>138</v>
      </c>
      <c r="B24" s="386">
        <f>'BORROWING SUMMARY '!J22/1000000</f>
        <v>650</v>
      </c>
    </row>
    <row r="25" spans="1:2" ht="15.6" x14ac:dyDescent="0.25">
      <c r="A25" s="385" t="s">
        <v>180</v>
      </c>
      <c r="B25" s="386">
        <f>'BORROWING SUMMARY '!J23/1000000</f>
        <v>395.75946462000002</v>
      </c>
    </row>
    <row r="26" spans="1:2" ht="15.6" x14ac:dyDescent="0.25">
      <c r="A26" s="385" t="s">
        <v>181</v>
      </c>
      <c r="B26" s="386">
        <f>+B24-B25</f>
        <v>254.24053537999998</v>
      </c>
    </row>
    <row r="27" spans="1:2" ht="14.4" customHeight="1" x14ac:dyDescent="0.25">
      <c r="A27" s="387"/>
      <c r="B27" s="388"/>
    </row>
    <row r="28" spans="1:2" ht="15.6" x14ac:dyDescent="0.25">
      <c r="A28" s="389" t="s">
        <v>139</v>
      </c>
      <c r="B28" s="721">
        <f>'PBICL (RPS)'!D11/1000000</f>
        <v>155.555556</v>
      </c>
    </row>
    <row r="29" spans="1:2" ht="12.6" customHeight="1" x14ac:dyDescent="0.25">
      <c r="A29" s="387"/>
      <c r="B29" s="720"/>
    </row>
    <row r="30" spans="1:2" ht="15.6" x14ac:dyDescent="0.25">
      <c r="A30" s="385" t="s">
        <v>140</v>
      </c>
      <c r="B30" s="386">
        <f>'FINANCIAL COST SUMMARY '!F17/1000000/30*30</f>
        <v>5.8779534413636201</v>
      </c>
    </row>
    <row r="31" spans="1:2" ht="12.6" customHeight="1" x14ac:dyDescent="0.25">
      <c r="A31" s="390"/>
      <c r="B31" s="391"/>
    </row>
    <row r="32" spans="1:2" s="113" customFormat="1" ht="22.2" customHeight="1" x14ac:dyDescent="0.25">
      <c r="A32" s="392" t="s">
        <v>169</v>
      </c>
      <c r="B32" s="556">
        <v>0</v>
      </c>
    </row>
    <row r="33" spans="1:2" ht="12.6" customHeight="1" x14ac:dyDescent="0.25">
      <c r="A33" s="390"/>
      <c r="B33" s="391"/>
    </row>
    <row r="34" spans="1:2" ht="15.6" x14ac:dyDescent="0.3">
      <c r="A34" s="367" t="s">
        <v>95</v>
      </c>
      <c r="B34" s="386">
        <f>'INFLOW-OUTFLOW SUMMARY'!B40/1000000</f>
        <v>0</v>
      </c>
    </row>
    <row r="35" spans="1:2" ht="15.6" x14ac:dyDescent="0.3">
      <c r="A35" s="367" t="s">
        <v>96</v>
      </c>
      <c r="B35" s="386">
        <f>'INFLOW-OUTFLOW SUMMARY'!D40/1000000</f>
        <v>0</v>
      </c>
    </row>
    <row r="36" spans="1:2" ht="12.6" customHeight="1" x14ac:dyDescent="0.25">
      <c r="A36" s="393"/>
      <c r="B36" s="394"/>
    </row>
    <row r="37" spans="1:2" ht="15.6" x14ac:dyDescent="0.25">
      <c r="A37" s="389" t="s">
        <v>141</v>
      </c>
      <c r="B37" s="456">
        <v>442.774</v>
      </c>
    </row>
    <row r="38" spans="1:2" ht="15.6" x14ac:dyDescent="0.25">
      <c r="A38" s="389" t="s">
        <v>142</v>
      </c>
      <c r="B38" s="456">
        <v>75.814999999999998</v>
      </c>
    </row>
    <row r="39" spans="1:2" ht="15.6" x14ac:dyDescent="0.25">
      <c r="A39" s="389" t="s">
        <v>143</v>
      </c>
      <c r="B39" s="456">
        <v>699.40800000000002</v>
      </c>
    </row>
    <row r="40" spans="1:2" ht="15.6" x14ac:dyDescent="0.25">
      <c r="A40" s="389" t="s">
        <v>98</v>
      </c>
      <c r="B40" s="457">
        <f>+B37+B38+B39</f>
        <v>1217.9969999999998</v>
      </c>
    </row>
    <row r="41" spans="1:2" ht="12.6" customHeight="1" x14ac:dyDescent="0.25">
      <c r="A41" s="395"/>
      <c r="B41" s="396"/>
    </row>
    <row r="42" spans="1:2" ht="15.6" x14ac:dyDescent="0.25">
      <c r="A42" s="385" t="s">
        <v>200</v>
      </c>
      <c r="B42" s="462" t="s">
        <v>342</v>
      </c>
    </row>
    <row r="43" spans="1:2" ht="15.6" x14ac:dyDescent="0.25">
      <c r="A43" s="385" t="s">
        <v>201</v>
      </c>
      <c r="B43" s="461">
        <v>278.2</v>
      </c>
    </row>
    <row r="44" spans="1:2" ht="15.6" x14ac:dyDescent="0.25">
      <c r="A44" s="385" t="s">
        <v>200</v>
      </c>
      <c r="B44" s="462" t="s">
        <v>343</v>
      </c>
    </row>
    <row r="45" spans="1:2" ht="15.6" x14ac:dyDescent="0.25">
      <c r="A45" s="385" t="s">
        <v>201</v>
      </c>
      <c r="B45" s="461">
        <v>322.85000000000002</v>
      </c>
    </row>
    <row r="46" spans="1:2" ht="15.6" x14ac:dyDescent="0.25">
      <c r="A46" s="385" t="s">
        <v>200</v>
      </c>
      <c r="B46" s="462" t="s">
        <v>344</v>
      </c>
    </row>
    <row r="47" spans="1:2" ht="16.2" thickBot="1" x14ac:dyDescent="0.3">
      <c r="A47" s="463" t="s">
        <v>201</v>
      </c>
      <c r="B47" s="464">
        <v>41.17</v>
      </c>
    </row>
  </sheetData>
  <mergeCells count="4">
    <mergeCell ref="A2:B2"/>
    <mergeCell ref="A3:B3"/>
    <mergeCell ref="A4:B4"/>
    <mergeCell ref="A1:B1"/>
  </mergeCells>
  <printOptions horizontalCentered="1" verticalCentered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7F02-621E-42B3-9096-50DA452F02A1}">
  <sheetPr>
    <pageSetUpPr fitToPage="1"/>
  </sheetPr>
  <dimension ref="A1:AF41"/>
  <sheetViews>
    <sheetView view="pageBreakPreview" topLeftCell="A22" zoomScaleNormal="100" zoomScaleSheetLayoutView="100" workbookViewId="0">
      <selection activeCell="A46" sqref="A46"/>
    </sheetView>
  </sheetViews>
  <sheetFormatPr defaultRowHeight="15" x14ac:dyDescent="0.25"/>
  <cols>
    <col min="1" max="1" width="10" style="397" bestFit="1" customWidth="1"/>
    <col min="2" max="2" width="13.08984375" style="397" bestFit="1" customWidth="1"/>
    <col min="3" max="3" width="3.26953125" style="397" customWidth="1"/>
    <col min="4" max="4" width="13.08984375" style="397" bestFit="1" customWidth="1"/>
    <col min="5" max="5" width="16.54296875" style="397" bestFit="1" customWidth="1"/>
    <col min="6" max="6" width="1.81640625" style="397" customWidth="1"/>
    <col min="7" max="7" width="2.1796875" style="397" customWidth="1"/>
    <col min="8" max="8" width="19.54296875" style="397" customWidth="1"/>
    <col min="9" max="9" width="10.90625" style="397" customWidth="1"/>
    <col min="10" max="10" width="9.453125" style="397" customWidth="1"/>
    <col min="11" max="11" width="13.26953125" style="397" customWidth="1"/>
    <col min="12" max="12" width="2.81640625" style="397" customWidth="1"/>
    <col min="13" max="13" width="20.36328125" style="397" customWidth="1"/>
    <col min="14" max="14" width="9.36328125" style="397" bestFit="1" customWidth="1"/>
    <col min="15" max="15" width="12.36328125" style="397" customWidth="1"/>
    <col min="16" max="16" width="13.6328125" style="397" customWidth="1"/>
    <col min="17" max="17" width="14.81640625" style="397" customWidth="1"/>
    <col min="18" max="19" width="12.6328125" style="397" customWidth="1"/>
    <col min="20" max="21" width="15.90625" style="397" customWidth="1"/>
    <col min="22" max="22" width="16" style="397" customWidth="1"/>
    <col min="23" max="23" width="14.54296875" style="397" customWidth="1"/>
    <col min="24" max="25" width="13.6328125" style="397" customWidth="1"/>
    <col min="26" max="26" width="16.08984375" style="397" customWidth="1"/>
    <col min="27" max="27" width="14.81640625" style="397" bestFit="1" customWidth="1"/>
    <col min="28" max="28" width="8.7265625" style="397"/>
    <col min="29" max="29" width="12.7265625" style="397" bestFit="1" customWidth="1"/>
    <col min="30" max="16384" width="8.7265625" style="397"/>
  </cols>
  <sheetData>
    <row r="1" spans="1:32" x14ac:dyDescent="0.25">
      <c r="A1" s="746"/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  <c r="W1" s="746"/>
      <c r="X1" s="746"/>
      <c r="Y1" s="746"/>
      <c r="Z1" s="746"/>
      <c r="AA1" s="746"/>
    </row>
    <row r="2" spans="1:32" ht="40.200000000000003" customHeight="1" x14ac:dyDescent="0.35">
      <c r="A2" s="748" t="s">
        <v>153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8"/>
      <c r="Z2" s="748"/>
      <c r="AA2" s="748"/>
    </row>
    <row r="3" spans="1:32" ht="18" customHeight="1" x14ac:dyDescent="0.25">
      <c r="A3" s="750" t="s">
        <v>108</v>
      </c>
      <c r="B3" s="750"/>
      <c r="C3" s="750"/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750"/>
      <c r="X3" s="750"/>
      <c r="Y3" s="750"/>
      <c r="Z3" s="750"/>
      <c r="AA3" s="750"/>
    </row>
    <row r="4" spans="1:32" ht="15.6" x14ac:dyDescent="0.3">
      <c r="A4" s="744" t="s">
        <v>348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  <c r="M4" s="744"/>
      <c r="N4" s="744"/>
      <c r="O4" s="744"/>
      <c r="P4" s="744"/>
      <c r="Q4" s="744"/>
      <c r="R4" s="744"/>
      <c r="S4" s="744"/>
      <c r="T4" s="744"/>
      <c r="U4" s="744"/>
      <c r="V4" s="744"/>
      <c r="W4" s="744"/>
      <c r="X4" s="744"/>
      <c r="Y4" s="744"/>
      <c r="Z4" s="744"/>
      <c r="AA4" s="744"/>
    </row>
    <row r="5" spans="1:32" ht="15.6" x14ac:dyDescent="0.3">
      <c r="A5" s="398" t="s">
        <v>94</v>
      </c>
      <c r="B5" s="399" t="s">
        <v>95</v>
      </c>
      <c r="C5" s="399"/>
      <c r="D5" s="399" t="s">
        <v>96</v>
      </c>
      <c r="E5" s="399" t="s">
        <v>126</v>
      </c>
      <c r="H5" s="749" t="s">
        <v>107</v>
      </c>
      <c r="I5" s="749"/>
      <c r="J5" s="749"/>
      <c r="K5" s="749"/>
      <c r="L5" s="400"/>
      <c r="M5" s="747" t="s">
        <v>105</v>
      </c>
      <c r="N5" s="747"/>
      <c r="O5" s="747"/>
      <c r="P5" s="747"/>
      <c r="Q5" s="747"/>
      <c r="R5" s="747"/>
      <c r="S5" s="747"/>
      <c r="T5" s="747"/>
      <c r="U5" s="747"/>
      <c r="V5" s="747"/>
      <c r="W5" s="747"/>
      <c r="X5" s="747"/>
      <c r="Y5" s="747"/>
      <c r="Z5" s="747"/>
      <c r="AA5" s="747"/>
      <c r="AB5" s="401"/>
      <c r="AC5" s="401"/>
      <c r="AD5" s="401"/>
      <c r="AE5" s="401"/>
      <c r="AF5" s="401"/>
    </row>
    <row r="6" spans="1:32" ht="16.2" customHeight="1" x14ac:dyDescent="0.25">
      <c r="A6" s="751"/>
      <c r="B6" s="751"/>
      <c r="C6" s="751"/>
      <c r="D6" s="751"/>
      <c r="E6" s="751"/>
      <c r="H6" s="743" t="s">
        <v>109</v>
      </c>
      <c r="I6" s="743" t="s">
        <v>154</v>
      </c>
      <c r="J6" s="743" t="s">
        <v>179</v>
      </c>
      <c r="K6" s="743" t="s">
        <v>0</v>
      </c>
      <c r="L6" s="402"/>
      <c r="M6" s="745" t="s">
        <v>148</v>
      </c>
      <c r="N6" s="743" t="s">
        <v>290</v>
      </c>
      <c r="O6" s="743" t="s">
        <v>112</v>
      </c>
      <c r="P6" s="743" t="s">
        <v>106</v>
      </c>
      <c r="Q6" s="752" t="s">
        <v>127</v>
      </c>
      <c r="R6" s="743" t="s">
        <v>123</v>
      </c>
      <c r="S6" s="743" t="s">
        <v>113</v>
      </c>
      <c r="T6" s="752" t="s">
        <v>147</v>
      </c>
      <c r="U6" s="743" t="s">
        <v>124</v>
      </c>
      <c r="V6" s="743" t="s">
        <v>104</v>
      </c>
      <c r="W6" s="743" t="s">
        <v>117</v>
      </c>
      <c r="X6" s="743" t="s">
        <v>110</v>
      </c>
      <c r="Y6" s="743" t="s">
        <v>111</v>
      </c>
      <c r="Z6" s="743" t="s">
        <v>146</v>
      </c>
      <c r="AA6" s="743" t="s">
        <v>0</v>
      </c>
    </row>
    <row r="7" spans="1:32" ht="15.6" x14ac:dyDescent="0.25">
      <c r="A7" s="403" t="s">
        <v>97</v>
      </c>
      <c r="B7" s="403"/>
      <c r="C7" s="403"/>
      <c r="D7" s="403"/>
      <c r="E7" s="404">
        <v>698805012.83000004</v>
      </c>
      <c r="H7" s="743"/>
      <c r="I7" s="743"/>
      <c r="J7" s="743"/>
      <c r="K7" s="743"/>
      <c r="L7" s="402"/>
      <c r="M7" s="745"/>
      <c r="N7" s="743"/>
      <c r="O7" s="743"/>
      <c r="P7" s="743"/>
      <c r="Q7" s="752"/>
      <c r="R7" s="743"/>
      <c r="S7" s="743"/>
      <c r="T7" s="752"/>
      <c r="U7" s="743"/>
      <c r="V7" s="743"/>
      <c r="W7" s="743"/>
      <c r="X7" s="743"/>
      <c r="Y7" s="743"/>
      <c r="Z7" s="743"/>
      <c r="AA7" s="743"/>
    </row>
    <row r="8" spans="1:32" s="413" customFormat="1" ht="15.6" x14ac:dyDescent="0.3">
      <c r="A8" s="411">
        <v>46204</v>
      </c>
      <c r="B8" s="568">
        <f>K8</f>
        <v>0</v>
      </c>
      <c r="C8" s="568"/>
      <c r="D8" s="568">
        <f>AA8</f>
        <v>0</v>
      </c>
      <c r="E8" s="412">
        <f>SUM(E7+B8-D8)</f>
        <v>698805012.83000004</v>
      </c>
      <c r="H8" s="662"/>
      <c r="I8" s="409"/>
      <c r="J8" s="409"/>
      <c r="K8" s="410">
        <f>SUM(H8:J8)</f>
        <v>0</v>
      </c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410">
        <f t="shared" ref="AA8:AA39" si="0">SUM(M8:Z8)</f>
        <v>0</v>
      </c>
    </row>
    <row r="9" spans="1:32" ht="15.6" x14ac:dyDescent="0.3">
      <c r="A9" s="405">
        <f>+A8+1</f>
        <v>46205</v>
      </c>
      <c r="B9" s="568">
        <f t="shared" ref="B9:B34" si="1">K9</f>
        <v>0</v>
      </c>
      <c r="C9" s="569"/>
      <c r="D9" s="568">
        <f t="shared" ref="D9:D34" si="2">AA9</f>
        <v>0</v>
      </c>
      <c r="E9" s="406">
        <f t="shared" ref="E9:E34" si="3">SUM(E8+B9-D9)</f>
        <v>698805012.83000004</v>
      </c>
      <c r="H9" s="407"/>
      <c r="I9" s="407"/>
      <c r="J9" s="407"/>
      <c r="K9" s="408">
        <f t="shared" ref="K9:K34" si="4">SUM(H9:J9)</f>
        <v>0</v>
      </c>
      <c r="M9" s="407"/>
      <c r="N9" s="407"/>
      <c r="O9" s="407"/>
      <c r="P9" s="407"/>
      <c r="Q9" s="407"/>
      <c r="R9" s="409"/>
      <c r="S9" s="407"/>
      <c r="T9" s="407"/>
      <c r="U9" s="409"/>
      <c r="V9" s="407"/>
      <c r="W9" s="407"/>
      <c r="X9" s="407"/>
      <c r="Y9" s="407"/>
      <c r="Z9" s="407"/>
      <c r="AA9" s="410">
        <f t="shared" si="0"/>
        <v>0</v>
      </c>
    </row>
    <row r="10" spans="1:32" s="413" customFormat="1" ht="15" customHeight="1" x14ac:dyDescent="0.3">
      <c r="A10" s="411">
        <f t="shared" ref="A10:A38" si="5">+A9+1</f>
        <v>46206</v>
      </c>
      <c r="B10" s="568">
        <f t="shared" si="1"/>
        <v>0</v>
      </c>
      <c r="C10" s="568"/>
      <c r="D10" s="568">
        <f t="shared" si="2"/>
        <v>0</v>
      </c>
      <c r="E10" s="412">
        <f t="shared" si="3"/>
        <v>698805012.83000004</v>
      </c>
      <c r="H10" s="409"/>
      <c r="I10" s="409"/>
      <c r="J10" s="409"/>
      <c r="K10" s="410">
        <f t="shared" si="4"/>
        <v>0</v>
      </c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  <c r="Z10" s="409"/>
      <c r="AA10" s="410">
        <f t="shared" si="0"/>
        <v>0</v>
      </c>
    </row>
    <row r="11" spans="1:32" s="413" customFormat="1" ht="15.6" x14ac:dyDescent="0.3">
      <c r="A11" s="411">
        <f t="shared" si="5"/>
        <v>46207</v>
      </c>
      <c r="B11" s="568">
        <f t="shared" si="1"/>
        <v>0</v>
      </c>
      <c r="C11" s="568"/>
      <c r="D11" s="568">
        <f>AA11</f>
        <v>0</v>
      </c>
      <c r="E11" s="412">
        <f t="shared" si="3"/>
        <v>698805012.83000004</v>
      </c>
      <c r="H11" s="409"/>
      <c r="I11" s="409"/>
      <c r="J11" s="409"/>
      <c r="K11" s="410">
        <f t="shared" si="4"/>
        <v>0</v>
      </c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  <c r="Z11" s="409"/>
      <c r="AA11" s="410">
        <f t="shared" si="0"/>
        <v>0</v>
      </c>
    </row>
    <row r="12" spans="1:32" s="413" customFormat="1" ht="15.6" x14ac:dyDescent="0.3">
      <c r="A12" s="411">
        <f t="shared" si="5"/>
        <v>46208</v>
      </c>
      <c r="B12" s="568">
        <f t="shared" si="1"/>
        <v>0</v>
      </c>
      <c r="C12" s="568"/>
      <c r="D12" s="568">
        <f t="shared" si="2"/>
        <v>0</v>
      </c>
      <c r="E12" s="412">
        <f t="shared" si="3"/>
        <v>698805012.83000004</v>
      </c>
      <c r="H12" s="409"/>
      <c r="I12" s="409"/>
      <c r="J12" s="409"/>
      <c r="K12" s="410">
        <f t="shared" si="4"/>
        <v>0</v>
      </c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10">
        <f t="shared" si="0"/>
        <v>0</v>
      </c>
    </row>
    <row r="13" spans="1:32" s="413" customFormat="1" ht="15.6" x14ac:dyDescent="0.3">
      <c r="A13" s="411">
        <f t="shared" si="5"/>
        <v>46209</v>
      </c>
      <c r="B13" s="568">
        <f t="shared" si="1"/>
        <v>0</v>
      </c>
      <c r="C13" s="568"/>
      <c r="D13" s="568">
        <f t="shared" si="2"/>
        <v>0</v>
      </c>
      <c r="E13" s="412">
        <f t="shared" si="3"/>
        <v>698805012.83000004</v>
      </c>
      <c r="H13" s="522"/>
      <c r="I13" s="409"/>
      <c r="J13" s="409"/>
      <c r="K13" s="410">
        <f t="shared" si="4"/>
        <v>0</v>
      </c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  <c r="AA13" s="410">
        <f t="shared" si="0"/>
        <v>0</v>
      </c>
    </row>
    <row r="14" spans="1:32" s="413" customFormat="1" ht="15.6" x14ac:dyDescent="0.3">
      <c r="A14" s="411">
        <f t="shared" si="5"/>
        <v>46210</v>
      </c>
      <c r="B14" s="568">
        <f t="shared" si="1"/>
        <v>0</v>
      </c>
      <c r="C14" s="568"/>
      <c r="D14" s="568">
        <f t="shared" si="2"/>
        <v>0</v>
      </c>
      <c r="E14" s="412">
        <f t="shared" si="3"/>
        <v>698805012.83000004</v>
      </c>
      <c r="H14" s="409"/>
      <c r="I14" s="409"/>
      <c r="J14" s="409"/>
      <c r="K14" s="410">
        <f t="shared" si="4"/>
        <v>0</v>
      </c>
      <c r="M14" s="409"/>
      <c r="N14" s="409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  <c r="AA14" s="410">
        <f t="shared" si="0"/>
        <v>0</v>
      </c>
    </row>
    <row r="15" spans="1:32" s="413" customFormat="1" ht="15.6" x14ac:dyDescent="0.3">
      <c r="A15" s="411">
        <f t="shared" si="5"/>
        <v>46211</v>
      </c>
      <c r="B15" s="568">
        <f t="shared" si="1"/>
        <v>0</v>
      </c>
      <c r="C15" s="568"/>
      <c r="D15" s="568">
        <f>AA15</f>
        <v>0</v>
      </c>
      <c r="E15" s="412">
        <f t="shared" si="3"/>
        <v>698805012.83000004</v>
      </c>
      <c r="H15" s="409"/>
      <c r="I15" s="409"/>
      <c r="J15" s="409"/>
      <c r="K15" s="410">
        <f t="shared" si="4"/>
        <v>0</v>
      </c>
      <c r="M15" s="557"/>
      <c r="N15" s="557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  <c r="AA15" s="410">
        <f t="shared" si="0"/>
        <v>0</v>
      </c>
    </row>
    <row r="16" spans="1:32" ht="15.6" x14ac:dyDescent="0.3">
      <c r="A16" s="405">
        <f t="shared" si="5"/>
        <v>46212</v>
      </c>
      <c r="B16" s="569">
        <f t="shared" si="1"/>
        <v>0</v>
      </c>
      <c r="C16" s="569"/>
      <c r="D16" s="569">
        <f t="shared" si="2"/>
        <v>0</v>
      </c>
      <c r="E16" s="406">
        <f t="shared" si="3"/>
        <v>698805012.83000004</v>
      </c>
      <c r="H16" s="407"/>
      <c r="I16" s="407"/>
      <c r="J16" s="407"/>
      <c r="K16" s="408">
        <f t="shared" si="4"/>
        <v>0</v>
      </c>
      <c r="M16" s="407"/>
      <c r="N16" s="407"/>
      <c r="O16" s="407"/>
      <c r="P16" s="407"/>
      <c r="Q16" s="407"/>
      <c r="R16" s="407"/>
      <c r="S16" s="407"/>
      <c r="T16" s="407"/>
      <c r="U16" s="409"/>
      <c r="V16" s="407"/>
      <c r="W16" s="407"/>
      <c r="X16" s="407"/>
      <c r="Y16" s="407"/>
      <c r="Z16" s="407"/>
      <c r="AA16" s="408">
        <f t="shared" si="0"/>
        <v>0</v>
      </c>
    </row>
    <row r="17" spans="1:27" s="413" customFormat="1" ht="15.6" x14ac:dyDescent="0.3">
      <c r="A17" s="411">
        <f t="shared" si="5"/>
        <v>46213</v>
      </c>
      <c r="B17" s="568">
        <f t="shared" si="1"/>
        <v>0</v>
      </c>
      <c r="C17" s="568"/>
      <c r="D17" s="568">
        <f>AA17</f>
        <v>0</v>
      </c>
      <c r="E17" s="412">
        <f>SUM(E16+B17-D17)</f>
        <v>698805012.83000004</v>
      </c>
      <c r="H17" s="409"/>
      <c r="I17" s="409"/>
      <c r="J17" s="409"/>
      <c r="K17" s="410">
        <f t="shared" si="4"/>
        <v>0</v>
      </c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10">
        <f t="shared" si="0"/>
        <v>0</v>
      </c>
    </row>
    <row r="18" spans="1:27" s="413" customFormat="1" ht="15.6" x14ac:dyDescent="0.3">
      <c r="A18" s="405">
        <f t="shared" si="5"/>
        <v>46214</v>
      </c>
      <c r="B18" s="569">
        <f t="shared" si="1"/>
        <v>0</v>
      </c>
      <c r="C18" s="569"/>
      <c r="D18" s="569">
        <f>AA18</f>
        <v>0</v>
      </c>
      <c r="E18" s="406">
        <f t="shared" si="3"/>
        <v>698805012.83000004</v>
      </c>
      <c r="F18" s="397"/>
      <c r="G18" s="397"/>
      <c r="H18" s="407"/>
      <c r="I18" s="407"/>
      <c r="J18" s="407"/>
      <c r="K18" s="408">
        <f>SUM(H18:J18)</f>
        <v>0</v>
      </c>
      <c r="L18" s="397"/>
      <c r="M18" s="407"/>
      <c r="N18" s="407"/>
      <c r="O18" s="407"/>
      <c r="P18" s="407"/>
      <c r="Q18" s="407"/>
      <c r="R18" s="407"/>
      <c r="S18" s="407"/>
      <c r="T18" s="407"/>
      <c r="U18" s="409"/>
      <c r="V18" s="407"/>
      <c r="W18" s="407"/>
      <c r="X18" s="407"/>
      <c r="Y18" s="407"/>
      <c r="Z18" s="407"/>
      <c r="AA18" s="410">
        <f t="shared" si="0"/>
        <v>0</v>
      </c>
    </row>
    <row r="19" spans="1:27" s="413" customFormat="1" ht="15.6" x14ac:dyDescent="0.3">
      <c r="A19" s="405">
        <f t="shared" si="5"/>
        <v>46215</v>
      </c>
      <c r="B19" s="569">
        <f t="shared" si="1"/>
        <v>0</v>
      </c>
      <c r="C19" s="569"/>
      <c r="D19" s="569">
        <f t="shared" si="2"/>
        <v>0</v>
      </c>
      <c r="E19" s="406">
        <f t="shared" si="3"/>
        <v>698805012.83000004</v>
      </c>
      <c r="F19" s="397"/>
      <c r="G19" s="397"/>
      <c r="H19" s="407"/>
      <c r="I19" s="407"/>
      <c r="J19" s="407"/>
      <c r="K19" s="408">
        <f t="shared" si="4"/>
        <v>0</v>
      </c>
      <c r="L19" s="397"/>
      <c r="M19" s="407"/>
      <c r="N19" s="407"/>
      <c r="O19" s="407"/>
      <c r="P19" s="407"/>
      <c r="Q19" s="407"/>
      <c r="R19" s="407"/>
      <c r="S19" s="407"/>
      <c r="T19" s="407"/>
      <c r="U19" s="409"/>
      <c r="V19" s="407"/>
      <c r="W19" s="407"/>
      <c r="X19" s="407"/>
      <c r="Y19" s="407"/>
      <c r="Z19" s="667"/>
      <c r="AA19" s="410">
        <f t="shared" si="0"/>
        <v>0</v>
      </c>
    </row>
    <row r="20" spans="1:27" s="413" customFormat="1" ht="15.6" x14ac:dyDescent="0.3">
      <c r="A20" s="405">
        <f t="shared" si="5"/>
        <v>46216</v>
      </c>
      <c r="B20" s="569">
        <f t="shared" si="1"/>
        <v>0</v>
      </c>
      <c r="C20" s="569"/>
      <c r="D20" s="569">
        <f t="shared" si="2"/>
        <v>0</v>
      </c>
      <c r="E20" s="406">
        <f>SUM(E19+B20-D20)</f>
        <v>698805012.83000004</v>
      </c>
      <c r="F20" s="397"/>
      <c r="G20" s="397"/>
      <c r="H20" s="407"/>
      <c r="I20" s="407"/>
      <c r="J20" s="407"/>
      <c r="K20" s="408">
        <f t="shared" si="4"/>
        <v>0</v>
      </c>
      <c r="L20" s="397"/>
      <c r="M20" s="407"/>
      <c r="N20" s="407"/>
      <c r="O20" s="407"/>
      <c r="P20" s="407"/>
      <c r="Q20" s="407"/>
      <c r="R20" s="407"/>
      <c r="S20" s="407"/>
      <c r="T20" s="407"/>
      <c r="U20" s="409"/>
      <c r="V20" s="407"/>
      <c r="W20" s="407"/>
      <c r="X20" s="407"/>
      <c r="Y20" s="407"/>
      <c r="Z20" s="407"/>
      <c r="AA20" s="410">
        <f t="shared" si="0"/>
        <v>0</v>
      </c>
    </row>
    <row r="21" spans="1:27" ht="15.6" x14ac:dyDescent="0.3">
      <c r="A21" s="405">
        <f t="shared" si="5"/>
        <v>46217</v>
      </c>
      <c r="B21" s="569">
        <f t="shared" si="1"/>
        <v>0</v>
      </c>
      <c r="C21" s="569"/>
      <c r="D21" s="569">
        <f t="shared" si="2"/>
        <v>0</v>
      </c>
      <c r="E21" s="406">
        <f>SUM(E20+B21-D21)</f>
        <v>698805012.83000004</v>
      </c>
      <c r="H21" s="407"/>
      <c r="I21" s="407"/>
      <c r="J21" s="407"/>
      <c r="K21" s="408">
        <f t="shared" si="4"/>
        <v>0</v>
      </c>
      <c r="M21" s="407"/>
      <c r="N21" s="407"/>
      <c r="O21" s="407"/>
      <c r="P21" s="407"/>
      <c r="Q21" s="407"/>
      <c r="R21" s="407"/>
      <c r="S21" s="407"/>
      <c r="T21" s="407"/>
      <c r="U21" s="409"/>
      <c r="V21" s="407"/>
      <c r="W21" s="407"/>
      <c r="X21" s="407"/>
      <c r="Y21" s="407"/>
      <c r="Z21" s="407"/>
      <c r="AA21" s="410">
        <f t="shared" si="0"/>
        <v>0</v>
      </c>
    </row>
    <row r="22" spans="1:27" s="413" customFormat="1" ht="15.6" x14ac:dyDescent="0.3">
      <c r="A22" s="411">
        <f t="shared" si="5"/>
        <v>46218</v>
      </c>
      <c r="B22" s="568">
        <f t="shared" si="1"/>
        <v>0</v>
      </c>
      <c r="C22" s="568"/>
      <c r="D22" s="568">
        <f t="shared" si="2"/>
        <v>0</v>
      </c>
      <c r="E22" s="412">
        <f t="shared" si="3"/>
        <v>698805012.83000004</v>
      </c>
      <c r="H22" s="409"/>
      <c r="I22" s="409"/>
      <c r="J22" s="409"/>
      <c r="K22" s="410">
        <f t="shared" si="4"/>
        <v>0</v>
      </c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10">
        <f t="shared" si="0"/>
        <v>0</v>
      </c>
    </row>
    <row r="23" spans="1:27" s="413" customFormat="1" ht="15.6" x14ac:dyDescent="0.3">
      <c r="A23" s="411">
        <f t="shared" si="5"/>
        <v>46219</v>
      </c>
      <c r="B23" s="568">
        <f t="shared" si="1"/>
        <v>0</v>
      </c>
      <c r="C23" s="568"/>
      <c r="D23" s="568">
        <f t="shared" si="2"/>
        <v>0</v>
      </c>
      <c r="E23" s="412">
        <f t="shared" si="3"/>
        <v>698805012.83000004</v>
      </c>
      <c r="H23" s="409"/>
      <c r="I23" s="409"/>
      <c r="J23" s="409"/>
      <c r="K23" s="410">
        <f t="shared" si="4"/>
        <v>0</v>
      </c>
      <c r="M23" s="409"/>
      <c r="N23" s="409"/>
      <c r="O23" s="409"/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10">
        <f t="shared" si="0"/>
        <v>0</v>
      </c>
    </row>
    <row r="24" spans="1:27" s="416" customFormat="1" ht="15.6" x14ac:dyDescent="0.3">
      <c r="A24" s="405">
        <f t="shared" si="5"/>
        <v>46220</v>
      </c>
      <c r="B24" s="569">
        <f t="shared" si="1"/>
        <v>0</v>
      </c>
      <c r="C24" s="571"/>
      <c r="D24" s="569">
        <f t="shared" si="2"/>
        <v>0</v>
      </c>
      <c r="E24" s="406">
        <f t="shared" si="3"/>
        <v>698805012.83000004</v>
      </c>
      <c r="F24" s="572"/>
      <c r="G24" s="572"/>
      <c r="H24" s="407"/>
      <c r="I24" s="407"/>
      <c r="J24" s="407"/>
      <c r="K24" s="408">
        <f t="shared" si="4"/>
        <v>0</v>
      </c>
      <c r="L24" s="572"/>
      <c r="M24" s="407"/>
      <c r="N24" s="407"/>
      <c r="O24" s="407"/>
      <c r="P24" s="407"/>
      <c r="Q24" s="407"/>
      <c r="R24" s="407"/>
      <c r="S24" s="407"/>
      <c r="T24" s="407"/>
      <c r="U24" s="409"/>
      <c r="V24" s="407"/>
      <c r="W24" s="407"/>
      <c r="X24" s="407"/>
      <c r="Y24" s="407"/>
      <c r="Z24" s="407"/>
      <c r="AA24" s="410">
        <f t="shared" si="0"/>
        <v>0</v>
      </c>
    </row>
    <row r="25" spans="1:27" s="416" customFormat="1" ht="15.6" x14ac:dyDescent="0.3">
      <c r="A25" s="405">
        <f t="shared" si="5"/>
        <v>46221</v>
      </c>
      <c r="B25" s="569">
        <f t="shared" si="1"/>
        <v>0</v>
      </c>
      <c r="C25" s="571"/>
      <c r="D25" s="569">
        <f t="shared" si="2"/>
        <v>0</v>
      </c>
      <c r="E25" s="406">
        <f t="shared" si="3"/>
        <v>698805012.83000004</v>
      </c>
      <c r="F25" s="572"/>
      <c r="G25" s="572"/>
      <c r="H25" s="407"/>
      <c r="I25" s="407"/>
      <c r="J25" s="407"/>
      <c r="K25" s="408">
        <f t="shared" si="4"/>
        <v>0</v>
      </c>
      <c r="L25" s="572"/>
      <c r="M25" s="407"/>
      <c r="N25" s="407"/>
      <c r="O25" s="407"/>
      <c r="P25" s="407"/>
      <c r="Q25" s="407"/>
      <c r="R25" s="407"/>
      <c r="S25" s="407"/>
      <c r="T25" s="407"/>
      <c r="U25" s="409"/>
      <c r="V25" s="407"/>
      <c r="W25" s="407"/>
      <c r="X25" s="407"/>
      <c r="Y25" s="407"/>
      <c r="Z25" s="407"/>
      <c r="AA25" s="408">
        <f t="shared" si="0"/>
        <v>0</v>
      </c>
    </row>
    <row r="26" spans="1:27" s="416" customFormat="1" ht="15.6" x14ac:dyDescent="0.3">
      <c r="A26" s="658">
        <f t="shared" si="5"/>
        <v>46222</v>
      </c>
      <c r="B26" s="569">
        <f>K26</f>
        <v>0</v>
      </c>
      <c r="C26" s="569"/>
      <c r="D26" s="569">
        <f t="shared" si="2"/>
        <v>0</v>
      </c>
      <c r="E26" s="406">
        <f t="shared" si="3"/>
        <v>698805012.83000004</v>
      </c>
      <c r="F26" s="572"/>
      <c r="G26" s="572"/>
      <c r="H26" s="407"/>
      <c r="I26" s="407"/>
      <c r="J26" s="407"/>
      <c r="K26" s="408">
        <f t="shared" si="4"/>
        <v>0</v>
      </c>
      <c r="L26" s="572"/>
      <c r="M26" s="407"/>
      <c r="N26" s="407"/>
      <c r="O26" s="407"/>
      <c r="P26" s="407"/>
      <c r="Q26" s="407"/>
      <c r="R26" s="407"/>
      <c r="S26" s="407"/>
      <c r="T26" s="407"/>
      <c r="U26" s="409"/>
      <c r="V26" s="407"/>
      <c r="W26" s="407"/>
      <c r="X26" s="407"/>
      <c r="Y26" s="407"/>
      <c r="Z26" s="407"/>
      <c r="AA26" s="408">
        <f t="shared" si="0"/>
        <v>0</v>
      </c>
    </row>
    <row r="27" spans="1:27" s="416" customFormat="1" ht="15.6" x14ac:dyDescent="0.3">
      <c r="A27" s="405">
        <f t="shared" si="5"/>
        <v>46223</v>
      </c>
      <c r="B27" s="569">
        <f t="shared" si="1"/>
        <v>0</v>
      </c>
      <c r="C27" s="571"/>
      <c r="D27" s="569">
        <f t="shared" si="2"/>
        <v>0</v>
      </c>
      <c r="E27" s="406">
        <f t="shared" si="3"/>
        <v>698805012.83000004</v>
      </c>
      <c r="F27" s="572"/>
      <c r="G27" s="572"/>
      <c r="H27" s="407"/>
      <c r="I27" s="407"/>
      <c r="J27" s="407"/>
      <c r="K27" s="408">
        <f t="shared" si="4"/>
        <v>0</v>
      </c>
      <c r="L27" s="572"/>
      <c r="M27" s="407"/>
      <c r="N27" s="407"/>
      <c r="O27" s="407"/>
      <c r="P27" s="407"/>
      <c r="Q27" s="407"/>
      <c r="R27" s="407"/>
      <c r="S27" s="407"/>
      <c r="T27" s="407"/>
      <c r="U27" s="409"/>
      <c r="V27" s="407"/>
      <c r="W27" s="407"/>
      <c r="X27" s="407"/>
      <c r="Y27" s="407"/>
      <c r="Z27" s="407"/>
      <c r="AA27" s="408">
        <f t="shared" si="0"/>
        <v>0</v>
      </c>
    </row>
    <row r="28" spans="1:27" s="572" customFormat="1" ht="15.6" x14ac:dyDescent="0.3">
      <c r="A28" s="405">
        <f t="shared" si="5"/>
        <v>46224</v>
      </c>
      <c r="B28" s="569">
        <f t="shared" si="1"/>
        <v>0</v>
      </c>
      <c r="C28" s="571"/>
      <c r="D28" s="569">
        <f t="shared" si="2"/>
        <v>0</v>
      </c>
      <c r="E28" s="406">
        <f t="shared" si="3"/>
        <v>698805012.83000004</v>
      </c>
      <c r="H28" s="407"/>
      <c r="I28" s="407"/>
      <c r="J28" s="407"/>
      <c r="K28" s="408">
        <f t="shared" si="4"/>
        <v>0</v>
      </c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8">
        <f t="shared" si="0"/>
        <v>0</v>
      </c>
    </row>
    <row r="29" spans="1:27" s="416" customFormat="1" ht="15.6" x14ac:dyDescent="0.3">
      <c r="A29" s="405">
        <f>+A28+1</f>
        <v>46225</v>
      </c>
      <c r="B29" s="569">
        <f t="shared" si="1"/>
        <v>0</v>
      </c>
      <c r="C29" s="571"/>
      <c r="D29" s="569">
        <f t="shared" si="2"/>
        <v>0</v>
      </c>
      <c r="E29" s="406">
        <f t="shared" si="3"/>
        <v>698805012.83000004</v>
      </c>
      <c r="F29" s="572"/>
      <c r="G29" s="572"/>
      <c r="H29" s="407"/>
      <c r="I29" s="407"/>
      <c r="J29" s="407"/>
      <c r="K29" s="408">
        <f t="shared" si="4"/>
        <v>0</v>
      </c>
      <c r="L29" s="572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10">
        <f t="shared" si="0"/>
        <v>0</v>
      </c>
    </row>
    <row r="30" spans="1:27" s="416" customFormat="1" ht="15.6" x14ac:dyDescent="0.3">
      <c r="A30" s="405">
        <f t="shared" si="5"/>
        <v>46226</v>
      </c>
      <c r="B30" s="569">
        <f t="shared" si="1"/>
        <v>0</v>
      </c>
      <c r="C30" s="571"/>
      <c r="D30" s="569">
        <f t="shared" si="2"/>
        <v>0</v>
      </c>
      <c r="E30" s="406">
        <f t="shared" si="3"/>
        <v>698805012.83000004</v>
      </c>
      <c r="F30" s="572"/>
      <c r="G30" s="572"/>
      <c r="H30" s="407"/>
      <c r="I30" s="407"/>
      <c r="J30" s="407"/>
      <c r="K30" s="408">
        <f t="shared" si="4"/>
        <v>0</v>
      </c>
      <c r="L30" s="572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10">
        <f t="shared" si="0"/>
        <v>0</v>
      </c>
    </row>
    <row r="31" spans="1:27" s="416" customFormat="1" ht="15.6" x14ac:dyDescent="0.3">
      <c r="A31" s="405">
        <f t="shared" si="5"/>
        <v>46227</v>
      </c>
      <c r="B31" s="569">
        <f t="shared" si="1"/>
        <v>0</v>
      </c>
      <c r="C31" s="571"/>
      <c r="D31" s="569">
        <f t="shared" si="2"/>
        <v>0</v>
      </c>
      <c r="E31" s="406">
        <f t="shared" si="3"/>
        <v>698805012.83000004</v>
      </c>
      <c r="F31" s="572"/>
      <c r="G31" s="572"/>
      <c r="H31" s="407"/>
      <c r="I31" s="407"/>
      <c r="J31" s="407"/>
      <c r="K31" s="408">
        <f t="shared" si="4"/>
        <v>0</v>
      </c>
      <c r="L31" s="572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10">
        <f t="shared" si="0"/>
        <v>0</v>
      </c>
    </row>
    <row r="32" spans="1:27" s="416" customFormat="1" ht="15.6" x14ac:dyDescent="0.3">
      <c r="A32" s="411">
        <f t="shared" si="5"/>
        <v>46228</v>
      </c>
      <c r="B32" s="568">
        <f t="shared" si="1"/>
        <v>0</v>
      </c>
      <c r="C32" s="415"/>
      <c r="D32" s="568">
        <f t="shared" si="2"/>
        <v>0</v>
      </c>
      <c r="E32" s="412">
        <f t="shared" si="3"/>
        <v>698805012.83000004</v>
      </c>
      <c r="H32" s="409"/>
      <c r="I32" s="409"/>
      <c r="J32" s="409"/>
      <c r="K32" s="410">
        <f t="shared" si="4"/>
        <v>0</v>
      </c>
      <c r="M32" s="409"/>
      <c r="N32" s="409"/>
      <c r="O32" s="409"/>
      <c r="P32" s="409"/>
      <c r="Q32" s="409"/>
      <c r="R32" s="409"/>
      <c r="S32" s="409"/>
      <c r="T32" s="409"/>
      <c r="U32" s="409"/>
      <c r="V32" s="409"/>
      <c r="W32" s="409"/>
      <c r="X32" s="409"/>
      <c r="Y32" s="409"/>
      <c r="Z32" s="409"/>
      <c r="AA32" s="410">
        <f t="shared" si="0"/>
        <v>0</v>
      </c>
    </row>
    <row r="33" spans="1:27" s="416" customFormat="1" ht="15.6" x14ac:dyDescent="0.3">
      <c r="A33" s="411">
        <f t="shared" si="5"/>
        <v>46229</v>
      </c>
      <c r="B33" s="568">
        <f t="shared" si="1"/>
        <v>0</v>
      </c>
      <c r="C33" s="415"/>
      <c r="D33" s="568">
        <f t="shared" si="2"/>
        <v>0</v>
      </c>
      <c r="E33" s="412">
        <f t="shared" si="3"/>
        <v>698805012.83000004</v>
      </c>
      <c r="H33" s="409"/>
      <c r="I33" s="409"/>
      <c r="J33" s="409"/>
      <c r="K33" s="410">
        <f t="shared" si="4"/>
        <v>0</v>
      </c>
      <c r="M33" s="409"/>
      <c r="N33" s="409"/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10">
        <f t="shared" si="0"/>
        <v>0</v>
      </c>
    </row>
    <row r="34" spans="1:27" s="416" customFormat="1" ht="15.6" x14ac:dyDescent="0.3">
      <c r="A34" s="405">
        <f t="shared" si="5"/>
        <v>46230</v>
      </c>
      <c r="B34" s="569">
        <f t="shared" si="1"/>
        <v>0</v>
      </c>
      <c r="C34" s="571"/>
      <c r="D34" s="569">
        <f t="shared" si="2"/>
        <v>0</v>
      </c>
      <c r="E34" s="406">
        <f t="shared" si="3"/>
        <v>698805012.83000004</v>
      </c>
      <c r="F34" s="572"/>
      <c r="G34" s="572"/>
      <c r="H34" s="407"/>
      <c r="I34" s="407"/>
      <c r="J34" s="407"/>
      <c r="K34" s="408">
        <f t="shared" si="4"/>
        <v>0</v>
      </c>
      <c r="L34" s="572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10">
        <f t="shared" si="0"/>
        <v>0</v>
      </c>
    </row>
    <row r="35" spans="1:27" s="416" customFormat="1" ht="15.6" x14ac:dyDescent="0.3">
      <c r="A35" s="405">
        <f t="shared" si="5"/>
        <v>46231</v>
      </c>
      <c r="B35" s="569">
        <f>K35</f>
        <v>0</v>
      </c>
      <c r="C35" s="571"/>
      <c r="D35" s="569">
        <f>AA35</f>
        <v>0</v>
      </c>
      <c r="E35" s="406">
        <f>SUM(E34+B35-D35)</f>
        <v>698805012.83000004</v>
      </c>
      <c r="F35" s="572"/>
      <c r="G35" s="572"/>
      <c r="H35" s="407"/>
      <c r="I35" s="407"/>
      <c r="J35" s="407"/>
      <c r="K35" s="408">
        <f>SUM(H35:J35)</f>
        <v>0</v>
      </c>
      <c r="L35" s="572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10">
        <f>SUM(M35:Z35)</f>
        <v>0</v>
      </c>
    </row>
    <row r="36" spans="1:27" s="416" customFormat="1" ht="15.6" x14ac:dyDescent="0.3">
      <c r="A36" s="405">
        <f t="shared" si="5"/>
        <v>46232</v>
      </c>
      <c r="B36" s="569">
        <f>K36</f>
        <v>0</v>
      </c>
      <c r="C36" s="571"/>
      <c r="D36" s="569">
        <f>AA36</f>
        <v>0</v>
      </c>
      <c r="E36" s="406">
        <f>SUM(E35+B36-D36)</f>
        <v>698805012.83000004</v>
      </c>
      <c r="F36" s="572"/>
      <c r="G36" s="572"/>
      <c r="H36" s="407"/>
      <c r="I36" s="407"/>
      <c r="J36" s="407"/>
      <c r="K36" s="408">
        <f>SUM(H36:J36)</f>
        <v>0</v>
      </c>
      <c r="L36" s="572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10">
        <f>SUM(M36:Z36)</f>
        <v>0</v>
      </c>
    </row>
    <row r="37" spans="1:27" s="416" customFormat="1" ht="15.6" x14ac:dyDescent="0.3">
      <c r="A37" s="405">
        <f t="shared" si="5"/>
        <v>46233</v>
      </c>
      <c r="B37" s="569">
        <f>K37</f>
        <v>0</v>
      </c>
      <c r="C37" s="571"/>
      <c r="D37" s="569">
        <f>AA37</f>
        <v>0</v>
      </c>
      <c r="E37" s="406">
        <f>SUM(E36+B37-D37)</f>
        <v>698805012.83000004</v>
      </c>
      <c r="F37" s="572"/>
      <c r="G37" s="572"/>
      <c r="H37" s="407"/>
      <c r="I37" s="407"/>
      <c r="J37" s="407"/>
      <c r="K37" s="408">
        <f>SUM(H37:J37)</f>
        <v>0</v>
      </c>
      <c r="L37" s="572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10">
        <f>SUM(M37:Z37)</f>
        <v>0</v>
      </c>
    </row>
    <row r="38" spans="1:27" s="416" customFormat="1" ht="15.6" x14ac:dyDescent="0.3">
      <c r="A38" s="405">
        <f t="shared" si="5"/>
        <v>46234</v>
      </c>
      <c r="B38" s="569">
        <f>K38</f>
        <v>0</v>
      </c>
      <c r="C38" s="571"/>
      <c r="D38" s="569">
        <f>AA38</f>
        <v>0</v>
      </c>
      <c r="E38" s="406">
        <f>SUM(E37+B38-D38)</f>
        <v>698805012.83000004</v>
      </c>
      <c r="F38" s="572"/>
      <c r="G38" s="572"/>
      <c r="H38" s="407"/>
      <c r="I38" s="407"/>
      <c r="J38" s="407"/>
      <c r="K38" s="408">
        <f>SUM(H38:J38)</f>
        <v>0</v>
      </c>
      <c r="L38" s="572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10">
        <f>SUM(M38:Z38)</f>
        <v>0</v>
      </c>
    </row>
    <row r="39" spans="1:27" s="416" customFormat="1" ht="15.6" x14ac:dyDescent="0.3">
      <c r="A39" s="740"/>
      <c r="B39" s="741"/>
      <c r="C39" s="741"/>
      <c r="D39" s="741"/>
      <c r="E39" s="742"/>
      <c r="H39" s="459"/>
      <c r="I39" s="459"/>
      <c r="J39" s="459">
        <f>SUM(J8:J38)</f>
        <v>0</v>
      </c>
      <c r="K39" s="459">
        <f>SUM(K8:K38)</f>
        <v>0</v>
      </c>
      <c r="M39" s="459">
        <f>SUM(M8:M38)</f>
        <v>0</v>
      </c>
      <c r="N39" s="459"/>
      <c r="O39" s="459">
        <f t="shared" ref="O39:Z39" si="6">SUM(O8:O38)</f>
        <v>0</v>
      </c>
      <c r="P39" s="459">
        <f t="shared" si="6"/>
        <v>0</v>
      </c>
      <c r="Q39" s="459">
        <f t="shared" si="6"/>
        <v>0</v>
      </c>
      <c r="R39" s="459">
        <f t="shared" si="6"/>
        <v>0</v>
      </c>
      <c r="S39" s="459">
        <f t="shared" si="6"/>
        <v>0</v>
      </c>
      <c r="T39" s="459">
        <f t="shared" si="6"/>
        <v>0</v>
      </c>
      <c r="U39" s="459">
        <f t="shared" si="6"/>
        <v>0</v>
      </c>
      <c r="V39" s="459">
        <f t="shared" si="6"/>
        <v>0</v>
      </c>
      <c r="W39" s="459">
        <f t="shared" si="6"/>
        <v>0</v>
      </c>
      <c r="X39" s="459">
        <f t="shared" si="6"/>
        <v>0</v>
      </c>
      <c r="Y39" s="459">
        <f t="shared" si="6"/>
        <v>0</v>
      </c>
      <c r="Z39" s="459">
        <f t="shared" si="6"/>
        <v>0</v>
      </c>
      <c r="AA39" s="410">
        <f t="shared" si="0"/>
        <v>0</v>
      </c>
    </row>
    <row r="40" spans="1:27" ht="15" customHeight="1" x14ac:dyDescent="0.25">
      <c r="A40" s="445" t="s">
        <v>98</v>
      </c>
      <c r="B40" s="446">
        <f>SUM(B8:B38)-I39</f>
        <v>0</v>
      </c>
      <c r="C40" s="446"/>
      <c r="D40" s="446">
        <f>SUM(D8:D38)</f>
        <v>0</v>
      </c>
      <c r="E40" s="447">
        <f>SUM(B40-D40)</f>
        <v>0</v>
      </c>
      <c r="H40" s="419"/>
    </row>
    <row r="41" spans="1:27" x14ac:dyDescent="0.25">
      <c r="R41" s="414"/>
    </row>
  </sheetData>
  <mergeCells count="27">
    <mergeCell ref="A3:AA3"/>
    <mergeCell ref="A6:E6"/>
    <mergeCell ref="H6:H7"/>
    <mergeCell ref="K6:K7"/>
    <mergeCell ref="T6:T7"/>
    <mergeCell ref="Q6:Q7"/>
    <mergeCell ref="J6:J7"/>
    <mergeCell ref="N6:N7"/>
    <mergeCell ref="A1:AA1"/>
    <mergeCell ref="P6:P7"/>
    <mergeCell ref="Z6:Z7"/>
    <mergeCell ref="R6:R7"/>
    <mergeCell ref="M5:AA5"/>
    <mergeCell ref="S6:S7"/>
    <mergeCell ref="A2:AA2"/>
    <mergeCell ref="AA6:AA7"/>
    <mergeCell ref="V6:V7"/>
    <mergeCell ref="H5:K5"/>
    <mergeCell ref="A39:E39"/>
    <mergeCell ref="U6:U7"/>
    <mergeCell ref="W6:W7"/>
    <mergeCell ref="I6:I7"/>
    <mergeCell ref="A4:AA4"/>
    <mergeCell ref="X6:X7"/>
    <mergeCell ref="Y6:Y7"/>
    <mergeCell ref="O6:O7"/>
    <mergeCell ref="M6:M7"/>
  </mergeCells>
  <pageMargins left="0.70866141732283472" right="0.70866141732283472" top="0.74803149606299213" bottom="0.74803149606299213" header="0.31496062992125984" footer="0.31496062992125984"/>
  <pageSetup paperSize="9"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F95C-214E-4CFC-84A3-3EAC5242C4A5}">
  <sheetPr>
    <pageSetUpPr fitToPage="1"/>
  </sheetPr>
  <dimension ref="A1:O83"/>
  <sheetViews>
    <sheetView topLeftCell="B1" zoomScaleNormal="100" zoomScaleSheetLayoutView="100" workbookViewId="0">
      <selection activeCell="A23" sqref="A23"/>
    </sheetView>
  </sheetViews>
  <sheetFormatPr defaultRowHeight="15.6" x14ac:dyDescent="0.3"/>
  <cols>
    <col min="1" max="1" width="41.7265625" customWidth="1"/>
    <col min="2" max="2" width="15.81640625" customWidth="1"/>
    <col min="3" max="3" width="13.36328125" style="430" bestFit="1" customWidth="1"/>
    <col min="4" max="9" width="13.36328125" style="430" customWidth="1"/>
    <col min="10" max="10" width="14.7265625" bestFit="1" customWidth="1"/>
    <col min="11" max="11" width="0.6328125" customWidth="1"/>
    <col min="12" max="12" width="8.1796875" style="347" bestFit="1" customWidth="1"/>
    <col min="13" max="13" width="15.453125" style="354" bestFit="1" customWidth="1"/>
    <col min="14" max="14" width="3.1796875" bestFit="1" customWidth="1"/>
    <col min="15" max="15" width="13.81640625" bestFit="1" customWidth="1"/>
  </cols>
  <sheetData>
    <row r="1" spans="1:15" ht="3.6" customHeight="1" thickBot="1" x14ac:dyDescent="0.35">
      <c r="A1" s="763"/>
      <c r="B1" s="764"/>
      <c r="C1" s="764"/>
      <c r="D1" s="764"/>
      <c r="E1" s="764"/>
      <c r="F1" s="764"/>
      <c r="G1" s="764"/>
      <c r="H1" s="764"/>
      <c r="I1" s="764"/>
      <c r="J1" s="765"/>
    </row>
    <row r="2" spans="1:15" ht="16.2" thickBot="1" x14ac:dyDescent="0.35">
      <c r="A2" s="766" t="s">
        <v>152</v>
      </c>
      <c r="B2" s="767"/>
      <c r="C2" s="767"/>
      <c r="D2" s="767"/>
      <c r="E2" s="767"/>
      <c r="F2" s="767"/>
      <c r="G2" s="767"/>
      <c r="H2" s="767"/>
      <c r="I2" s="767"/>
      <c r="J2" s="768"/>
    </row>
    <row r="3" spans="1:15" ht="16.2" thickBot="1" x14ac:dyDescent="0.35">
      <c r="A3" s="766" t="s">
        <v>47</v>
      </c>
      <c r="B3" s="767"/>
      <c r="C3" s="767"/>
      <c r="D3" s="767"/>
      <c r="E3" s="767"/>
      <c r="F3" s="767"/>
      <c r="G3" s="767"/>
      <c r="H3" s="767"/>
      <c r="I3" s="767"/>
      <c r="J3" s="768"/>
    </row>
    <row r="4" spans="1:15" ht="16.2" thickBot="1" x14ac:dyDescent="0.35">
      <c r="A4" s="769">
        <v>46212</v>
      </c>
      <c r="B4" s="770"/>
      <c r="C4" s="767"/>
      <c r="D4" s="767"/>
      <c r="E4" s="767"/>
      <c r="F4" s="767"/>
      <c r="G4" s="767"/>
      <c r="H4" s="767"/>
      <c r="I4" s="767"/>
      <c r="J4" s="768"/>
    </row>
    <row r="5" spans="1:15" ht="3.6" customHeight="1" thickBot="1" x14ac:dyDescent="0.35">
      <c r="A5" s="771"/>
      <c r="B5" s="772"/>
      <c r="C5" s="772"/>
      <c r="D5" s="772"/>
      <c r="E5" s="772"/>
      <c r="F5" s="772"/>
      <c r="G5" s="772"/>
      <c r="H5" s="772"/>
      <c r="I5" s="772"/>
      <c r="J5" s="773"/>
      <c r="K5" s="754"/>
    </row>
    <row r="6" spans="1:15" s="113" customFormat="1" ht="16.2" thickBot="1" x14ac:dyDescent="0.35">
      <c r="A6" s="114" t="s">
        <v>48</v>
      </c>
      <c r="B6" s="114" t="s">
        <v>175</v>
      </c>
      <c r="C6" s="421" t="s">
        <v>155</v>
      </c>
      <c r="D6" s="421" t="s">
        <v>45</v>
      </c>
      <c r="E6" s="421" t="s">
        <v>213</v>
      </c>
      <c r="F6" s="421" t="s">
        <v>249</v>
      </c>
      <c r="G6" s="421" t="s">
        <v>231</v>
      </c>
      <c r="H6" s="421" t="s">
        <v>327</v>
      </c>
      <c r="I6" s="421" t="s">
        <v>329</v>
      </c>
      <c r="J6" s="114" t="s">
        <v>44</v>
      </c>
      <c r="K6" s="754"/>
      <c r="L6" s="347"/>
      <c r="M6" s="350"/>
    </row>
    <row r="7" spans="1:15" ht="4.2" customHeight="1" thickBot="1" x14ac:dyDescent="0.35">
      <c r="A7" s="774"/>
      <c r="B7" s="775"/>
      <c r="C7" s="775"/>
      <c r="D7" s="775"/>
      <c r="E7" s="775"/>
      <c r="F7" s="775"/>
      <c r="G7" s="775"/>
      <c r="H7" s="775"/>
      <c r="I7" s="775"/>
      <c r="J7" s="776"/>
      <c r="K7" s="754"/>
    </row>
    <row r="8" spans="1:15" x14ac:dyDescent="0.3">
      <c r="A8" s="115" t="s">
        <v>167</v>
      </c>
      <c r="B8" s="331">
        <v>150000000</v>
      </c>
      <c r="C8" s="422">
        <v>150000000</v>
      </c>
      <c r="D8" s="422">
        <f>300000000</f>
        <v>300000000</v>
      </c>
      <c r="E8" s="422">
        <v>100000000</v>
      </c>
      <c r="F8" s="422">
        <v>200000000</v>
      </c>
      <c r="G8" s="422">
        <v>250000000</v>
      </c>
      <c r="H8" s="422">
        <v>300000000</v>
      </c>
      <c r="I8" s="422">
        <v>200000000</v>
      </c>
      <c r="J8" s="344">
        <f>SUM(B8:I8)</f>
        <v>1650000000</v>
      </c>
      <c r="L8" s="348"/>
    </row>
    <row r="9" spans="1:15" x14ac:dyDescent="0.3">
      <c r="A9" s="116" t="s">
        <v>100</v>
      </c>
      <c r="B9" s="332">
        <v>0</v>
      </c>
      <c r="C9" s="423">
        <f>87500*280+87500*280</f>
        <v>49000000</v>
      </c>
      <c r="D9" s="423">
        <v>0</v>
      </c>
      <c r="E9" s="223">
        <v>0</v>
      </c>
      <c r="F9" s="423">
        <v>0</v>
      </c>
      <c r="G9" s="423">
        <v>0</v>
      </c>
      <c r="H9" s="423">
        <v>0</v>
      </c>
      <c r="I9" s="423"/>
      <c r="J9" s="223">
        <f>+SUM(B9:I9)</f>
        <v>49000000</v>
      </c>
      <c r="N9" s="113"/>
    </row>
    <row r="10" spans="1:15" x14ac:dyDescent="0.3">
      <c r="A10" s="118" t="s">
        <v>101</v>
      </c>
      <c r="B10" s="310">
        <v>0</v>
      </c>
      <c r="C10" s="423">
        <v>0</v>
      </c>
      <c r="D10" s="424"/>
      <c r="E10" s="424">
        <v>0</v>
      </c>
      <c r="F10" s="424">
        <v>0</v>
      </c>
      <c r="G10" s="424">
        <v>0</v>
      </c>
      <c r="H10" s="424">
        <v>0</v>
      </c>
      <c r="I10" s="424"/>
      <c r="J10" s="223">
        <f>+SUM(B10:I10)</f>
        <v>0</v>
      </c>
      <c r="L10" s="689" t="s">
        <v>175</v>
      </c>
      <c r="M10" s="498">
        <v>0</v>
      </c>
      <c r="N10" s="444" t="s">
        <v>202</v>
      </c>
    </row>
    <row r="11" spans="1:15" x14ac:dyDescent="0.3">
      <c r="A11" s="118" t="s">
        <v>54</v>
      </c>
      <c r="B11" s="310">
        <v>0</v>
      </c>
      <c r="C11" s="424">
        <v>0</v>
      </c>
      <c r="D11" s="424">
        <v>0</v>
      </c>
      <c r="E11" s="424">
        <v>0</v>
      </c>
      <c r="F11" s="424">
        <v>0</v>
      </c>
      <c r="G11" s="424">
        <v>0</v>
      </c>
      <c r="H11" s="424">
        <v>0</v>
      </c>
      <c r="I11" s="424"/>
      <c r="J11" s="223">
        <f>+SUM(B11:I11)</f>
        <v>0</v>
      </c>
      <c r="L11" s="436" t="s">
        <v>327</v>
      </c>
      <c r="M11" s="498">
        <f>'[2]02 July'!$H$10</f>
        <v>207835.6099999994</v>
      </c>
      <c r="N11" s="113" t="s">
        <v>202</v>
      </c>
    </row>
    <row r="12" spans="1:15" x14ac:dyDescent="0.3">
      <c r="A12" s="118"/>
      <c r="B12" s="118"/>
      <c r="C12" s="424"/>
      <c r="D12" s="424"/>
      <c r="E12" s="424"/>
      <c r="F12" s="424">
        <v>0</v>
      </c>
      <c r="G12" s="424"/>
      <c r="H12" s="424"/>
      <c r="I12" s="424"/>
      <c r="J12" s="224"/>
      <c r="K12" s="458"/>
      <c r="L12" s="690" t="s">
        <v>190</v>
      </c>
      <c r="M12" s="523">
        <f>'[4]09 July'!$H$8</f>
        <v>23968543.84</v>
      </c>
      <c r="N12" s="113" t="s">
        <v>203</v>
      </c>
      <c r="O12" s="458"/>
    </row>
    <row r="13" spans="1:15" ht="16.2" thickBot="1" x14ac:dyDescent="0.35">
      <c r="A13" s="333" t="s">
        <v>49</v>
      </c>
      <c r="B13" s="334">
        <f>+B8-B9-B10-B11-B17</f>
        <v>150000000</v>
      </c>
      <c r="C13" s="425">
        <f>+C8-C9-C10-C11-C17</f>
        <v>101000000</v>
      </c>
      <c r="D13" s="425">
        <f>+D8-D9-D10-D11-D17-D23</f>
        <v>252284473.13999999</v>
      </c>
      <c r="E13" s="425">
        <f>+E8-E9-E10-E11-E17-E23</f>
        <v>100000000</v>
      </c>
      <c r="F13" s="425">
        <f>+F8-F9-F10-F11-F17</f>
        <v>200000000</v>
      </c>
      <c r="G13" s="425">
        <f>+G8-G9-G10-G11-G17-G23</f>
        <v>32296608</v>
      </c>
      <c r="H13" s="425">
        <f>+H8-H9-H10-H11-H17-H23</f>
        <v>200000000</v>
      </c>
      <c r="I13" s="425">
        <f>+I8-I9-I10-I11-I17-I23</f>
        <v>200000000</v>
      </c>
      <c r="J13" s="334">
        <f>SUM(B13:I13)</f>
        <v>1235581081.1399999</v>
      </c>
      <c r="K13" s="458"/>
      <c r="L13" s="436" t="s">
        <v>297</v>
      </c>
      <c r="M13" s="523">
        <v>0</v>
      </c>
      <c r="N13" s="113" t="s">
        <v>203</v>
      </c>
      <c r="O13" s="498"/>
    </row>
    <row r="14" spans="1:15" ht="16.8" thickTop="1" thickBot="1" x14ac:dyDescent="0.35">
      <c r="A14" s="756"/>
      <c r="B14" s="757"/>
      <c r="C14" s="757"/>
      <c r="D14" s="757"/>
      <c r="E14" s="757"/>
      <c r="F14" s="757"/>
      <c r="G14" s="757"/>
      <c r="H14" s="757"/>
      <c r="I14" s="757"/>
      <c r="J14" s="758"/>
      <c r="L14" s="436" t="s">
        <v>45</v>
      </c>
      <c r="M14" s="523">
        <f>'[4]09 July'!$H$7</f>
        <v>726900.20000000345</v>
      </c>
      <c r="N14" s="113" t="s">
        <v>203</v>
      </c>
    </row>
    <row r="15" spans="1:15" ht="16.2" thickBot="1" x14ac:dyDescent="0.35">
      <c r="A15" s="121" t="s">
        <v>55</v>
      </c>
      <c r="B15" s="121" t="s">
        <v>176</v>
      </c>
      <c r="C15" s="121" t="s">
        <v>324</v>
      </c>
      <c r="D15" s="121" t="s">
        <v>195</v>
      </c>
      <c r="E15" s="468" t="s">
        <v>207</v>
      </c>
      <c r="F15" s="468" t="s">
        <v>251</v>
      </c>
      <c r="G15" s="121" t="s">
        <v>233</v>
      </c>
      <c r="H15" s="468" t="s">
        <v>328</v>
      </c>
      <c r="I15" s="468" t="s">
        <v>330</v>
      </c>
      <c r="J15" s="122"/>
      <c r="L15" s="349" t="s">
        <v>98</v>
      </c>
      <c r="M15" s="355">
        <f>SUM(M10:M14)</f>
        <v>24903279.650000002</v>
      </c>
    </row>
    <row r="16" spans="1:15" x14ac:dyDescent="0.3">
      <c r="A16" s="181" t="s">
        <v>103</v>
      </c>
      <c r="B16" s="329">
        <v>150000000</v>
      </c>
      <c r="C16" s="426">
        <v>150000000</v>
      </c>
      <c r="D16" s="426">
        <f>300000000</f>
        <v>300000000</v>
      </c>
      <c r="E16" s="426">
        <v>100000000</v>
      </c>
      <c r="F16" s="422">
        <v>200000000</v>
      </c>
      <c r="G16" s="422">
        <v>250000000</v>
      </c>
      <c r="H16" s="422">
        <v>300000000</v>
      </c>
      <c r="I16" s="422">
        <v>200000000</v>
      </c>
      <c r="J16" s="345">
        <f>SUM(B16:I16)</f>
        <v>1650000000</v>
      </c>
      <c r="K16" s="89"/>
    </row>
    <row r="17" spans="1:14" x14ac:dyDescent="0.3">
      <c r="A17" s="179" t="s">
        <v>99</v>
      </c>
      <c r="B17" s="330">
        <f>'MCB-FATR '!C36</f>
        <v>0</v>
      </c>
      <c r="C17" s="427">
        <f>'SONERI-FATR'!C36</f>
        <v>0</v>
      </c>
      <c r="D17" s="431">
        <f>'BOP - FATR'!E36</f>
        <v>0</v>
      </c>
      <c r="E17" s="431">
        <f>'BIPL-FATR'!C6</f>
        <v>0</v>
      </c>
      <c r="F17" s="431">
        <v>0</v>
      </c>
      <c r="G17" s="431">
        <v>0</v>
      </c>
      <c r="H17" s="431"/>
      <c r="I17" s="431"/>
      <c r="J17" s="226">
        <f>SUM(B17:I17)</f>
        <v>0</v>
      </c>
      <c r="K17" s="225"/>
      <c r="L17" s="348"/>
    </row>
    <row r="18" spans="1:14" x14ac:dyDescent="0.3">
      <c r="A18" s="180" t="s">
        <v>102</v>
      </c>
      <c r="B18" s="319">
        <v>0</v>
      </c>
      <c r="C18" s="428">
        <v>0</v>
      </c>
      <c r="D18" s="432">
        <v>0</v>
      </c>
      <c r="E18" s="432">
        <v>0</v>
      </c>
      <c r="F18" s="432"/>
      <c r="G18" s="432">
        <v>0</v>
      </c>
      <c r="H18" s="432"/>
      <c r="I18" s="432"/>
      <c r="J18" s="320">
        <v>0</v>
      </c>
      <c r="L18" s="348"/>
    </row>
    <row r="19" spans="1:14" ht="16.2" thickBot="1" x14ac:dyDescent="0.35">
      <c r="A19" s="335" t="s">
        <v>92</v>
      </c>
      <c r="B19" s="336">
        <f>+B16-B9-B17</f>
        <v>150000000</v>
      </c>
      <c r="C19" s="336">
        <f>+C16-C9-C17-C10-C11</f>
        <v>101000000</v>
      </c>
      <c r="D19" s="336">
        <f>+D16-D9-D17-D10-D23</f>
        <v>252284473.13999999</v>
      </c>
      <c r="E19" s="336">
        <f>+E16-E9-E17-E10-E23</f>
        <v>100000000</v>
      </c>
      <c r="F19" s="336">
        <f>+F16-F9-F17-F10</f>
        <v>200000000</v>
      </c>
      <c r="G19" s="336">
        <f>+G16-G9-G17-G10</f>
        <v>250000000</v>
      </c>
      <c r="H19" s="336">
        <f>+H16-H9-H17-H10-H23</f>
        <v>200000000</v>
      </c>
      <c r="I19" s="336">
        <f>+I16-I9-I17-I10-I23</f>
        <v>200000000</v>
      </c>
      <c r="J19" s="337">
        <f>SUM(B19:I19)</f>
        <v>1453284473.1399999</v>
      </c>
      <c r="L19" s="348"/>
    </row>
    <row r="20" spans="1:14" ht="16.8" thickTop="1" thickBot="1" x14ac:dyDescent="0.35">
      <c r="A20" s="759"/>
      <c r="B20" s="760"/>
      <c r="C20" s="760"/>
      <c r="D20" s="760"/>
      <c r="E20" s="760"/>
      <c r="F20" s="760"/>
      <c r="G20" s="760"/>
      <c r="H20" s="760"/>
      <c r="I20" s="760"/>
      <c r="J20" s="761"/>
      <c r="L20" s="524"/>
    </row>
    <row r="21" spans="1:14" ht="16.2" thickBot="1" x14ac:dyDescent="0.35">
      <c r="A21" s="697" t="s">
        <v>55</v>
      </c>
      <c r="B21" s="698" t="s">
        <v>176</v>
      </c>
      <c r="C21" s="698" t="s">
        <v>323</v>
      </c>
      <c r="D21" s="698" t="s">
        <v>325</v>
      </c>
      <c r="E21" s="699" t="s">
        <v>207</v>
      </c>
      <c r="F21" s="699"/>
      <c r="G21" s="698" t="s">
        <v>326</v>
      </c>
      <c r="H21" s="700" t="s">
        <v>328</v>
      </c>
      <c r="I21" s="698" t="s">
        <v>331</v>
      </c>
      <c r="J21" s="701"/>
      <c r="L21" s="350"/>
    </row>
    <row r="22" spans="1:14" x14ac:dyDescent="0.3">
      <c r="A22" s="692" t="s">
        <v>50</v>
      </c>
      <c r="B22" s="693">
        <v>50000000</v>
      </c>
      <c r="C22" s="694">
        <v>50000000</v>
      </c>
      <c r="D22" s="695">
        <v>100000000</v>
      </c>
      <c r="E22" s="695">
        <v>50000000</v>
      </c>
      <c r="F22" s="695"/>
      <c r="G22" s="694">
        <v>250000000</v>
      </c>
      <c r="H22" s="694">
        <v>100000000</v>
      </c>
      <c r="I22" s="694">
        <v>50000000</v>
      </c>
      <c r="J22" s="696">
        <f>SUM(B22:I22)</f>
        <v>650000000</v>
      </c>
      <c r="L22" s="350"/>
    </row>
    <row r="23" spans="1:14" x14ac:dyDescent="0.3">
      <c r="A23" s="314" t="s">
        <v>51</v>
      </c>
      <c r="B23" s="451">
        <f>'MCB-RF '!E36</f>
        <v>555209.2699999786</v>
      </c>
      <c r="C23" s="452">
        <f>'SONERI-RF '!E36</f>
        <v>29785336.489999995</v>
      </c>
      <c r="D23" s="453">
        <f>'BOP - RF'!E36</f>
        <v>47715526.859999999</v>
      </c>
      <c r="E23" s="453">
        <f>'BIPL-RF'!E39</f>
        <v>0</v>
      </c>
      <c r="F23" s="453"/>
      <c r="G23" s="453">
        <f>'NBP-ISLAMIC'!E36</f>
        <v>217703392</v>
      </c>
      <c r="H23" s="453">
        <f>'FBL-ISTISNA'!C36</f>
        <v>100000000</v>
      </c>
      <c r="I23" s="453">
        <v>0</v>
      </c>
      <c r="J23" s="315">
        <f>SUM(B23:I23)</f>
        <v>395759464.62</v>
      </c>
      <c r="K23" s="501"/>
      <c r="L23" s="350"/>
    </row>
    <row r="24" spans="1:14" x14ac:dyDescent="0.3">
      <c r="A24" s="366" t="s">
        <v>189</v>
      </c>
      <c r="B24" s="451">
        <v>0</v>
      </c>
      <c r="C24" s="452">
        <v>0</v>
      </c>
      <c r="D24" s="453"/>
      <c r="E24" s="433">
        <v>0</v>
      </c>
      <c r="F24" s="433"/>
      <c r="G24" s="433"/>
      <c r="H24" s="433"/>
      <c r="I24" s="433"/>
      <c r="J24" s="346">
        <f>SUM(B24:I24)+M15</f>
        <v>24903279.650000002</v>
      </c>
      <c r="K24" s="502"/>
      <c r="L24" s="442"/>
    </row>
    <row r="25" spans="1:14" ht="16.2" thickBot="1" x14ac:dyDescent="0.35">
      <c r="A25" s="338" t="s">
        <v>52</v>
      </c>
      <c r="B25" s="339">
        <f>+B22-B23+B24</f>
        <v>49444790.730000019</v>
      </c>
      <c r="C25" s="339">
        <f>+C22-C23+C24</f>
        <v>20214663.510000005</v>
      </c>
      <c r="D25" s="339">
        <f>+D22-D23+D24</f>
        <v>52284473.140000001</v>
      </c>
      <c r="E25" s="339">
        <f>+E22-E23+E24</f>
        <v>50000000</v>
      </c>
      <c r="F25" s="339">
        <v>0</v>
      </c>
      <c r="G25" s="339">
        <f>+G22-G23+G24</f>
        <v>32296608</v>
      </c>
      <c r="H25" s="339">
        <f>+H22-H23+H24</f>
        <v>0</v>
      </c>
      <c r="I25" s="339">
        <f>+I22-I23+I24</f>
        <v>50000000</v>
      </c>
      <c r="J25" s="340">
        <f>SUM(B25:I25)+J24</f>
        <v>279143815.03000003</v>
      </c>
      <c r="L25" s="570"/>
    </row>
    <row r="26" spans="1:14" s="215" customFormat="1" ht="3" customHeight="1" thickTop="1" x14ac:dyDescent="0.3">
      <c r="A26" s="755"/>
      <c r="B26" s="755"/>
      <c r="C26" s="755"/>
      <c r="D26" s="755"/>
      <c r="E26" s="755"/>
      <c r="F26" s="755"/>
      <c r="G26" s="755"/>
      <c r="H26" s="755"/>
      <c r="I26" s="755"/>
      <c r="J26" s="755"/>
      <c r="L26" s="347"/>
      <c r="M26" s="354"/>
      <c r="N26"/>
    </row>
    <row r="27" spans="1:14" s="215" customFormat="1" ht="13.8" x14ac:dyDescent="0.3">
      <c r="C27" s="429"/>
      <c r="D27" s="429"/>
      <c r="E27" s="429"/>
      <c r="F27" s="429"/>
      <c r="G27" s="429"/>
      <c r="H27" s="429"/>
      <c r="I27" s="429"/>
      <c r="L27" s="351"/>
      <c r="M27" s="438"/>
    </row>
    <row r="28" spans="1:14" s="215" customFormat="1" ht="13.8" x14ac:dyDescent="0.3">
      <c r="C28" s="429"/>
      <c r="D28" s="429"/>
      <c r="E28" s="429"/>
      <c r="F28" s="429"/>
      <c r="G28" s="429"/>
      <c r="H28" s="429"/>
      <c r="I28" s="429"/>
      <c r="L28" s="351"/>
      <c r="M28" s="438"/>
    </row>
    <row r="29" spans="1:14" s="215" customFormat="1" ht="13.8" x14ac:dyDescent="0.3">
      <c r="C29" s="429"/>
      <c r="D29" s="429"/>
      <c r="E29" s="429"/>
      <c r="F29" s="429"/>
      <c r="G29" s="429"/>
      <c r="H29" s="429"/>
      <c r="I29" s="429"/>
      <c r="L29" s="351"/>
      <c r="M29" s="438"/>
    </row>
    <row r="30" spans="1:14" s="215" customFormat="1" ht="13.8" x14ac:dyDescent="0.3">
      <c r="C30" s="429"/>
      <c r="D30" s="429"/>
      <c r="E30" s="429"/>
      <c r="F30" s="429"/>
      <c r="G30" s="429"/>
      <c r="H30" s="429"/>
      <c r="I30" s="429"/>
      <c r="L30" s="351"/>
      <c r="M30" s="438"/>
    </row>
    <row r="31" spans="1:14" x14ac:dyDescent="0.3">
      <c r="A31" s="435" t="s">
        <v>175</v>
      </c>
      <c r="B31" s="498">
        <v>0</v>
      </c>
      <c r="C31" s="444" t="s">
        <v>202</v>
      </c>
      <c r="D31" s="429"/>
      <c r="E31" s="429"/>
      <c r="F31" s="429"/>
      <c r="G31" s="429"/>
      <c r="H31" s="429"/>
      <c r="I31" s="429"/>
      <c r="J31" s="528"/>
      <c r="L31" s="351"/>
      <c r="M31" s="438"/>
      <c r="N31" s="215"/>
    </row>
    <row r="32" spans="1:14" x14ac:dyDescent="0.3">
      <c r="A32" s="436" t="s">
        <v>155</v>
      </c>
      <c r="B32" s="498">
        <v>0</v>
      </c>
      <c r="C32" s="113" t="s">
        <v>202</v>
      </c>
      <c r="D32" s="429"/>
      <c r="E32" s="429"/>
      <c r="F32" s="429"/>
      <c r="G32" s="429"/>
      <c r="H32" s="429"/>
      <c r="I32" s="429"/>
    </row>
    <row r="33" spans="1:14" x14ac:dyDescent="0.3">
      <c r="A33" s="437" t="s">
        <v>190</v>
      </c>
      <c r="B33" s="523">
        <f>M12</f>
        <v>23968543.84</v>
      </c>
      <c r="C33" s="113" t="s">
        <v>203</v>
      </c>
      <c r="D33" s="429"/>
      <c r="E33" s="429"/>
      <c r="F33" s="429"/>
      <c r="G33" s="429"/>
      <c r="H33" s="429"/>
      <c r="I33" s="429"/>
    </row>
    <row r="34" spans="1:14" x14ac:dyDescent="0.3">
      <c r="A34" s="437" t="s">
        <v>297</v>
      </c>
      <c r="B34" s="523">
        <f>M13</f>
        <v>0</v>
      </c>
      <c r="C34" s="113" t="s">
        <v>203</v>
      </c>
      <c r="D34" s="702"/>
      <c r="E34" s="702"/>
      <c r="F34" s="702"/>
      <c r="G34" s="429"/>
      <c r="H34" s="429"/>
      <c r="I34" s="429"/>
    </row>
    <row r="35" spans="1:14" x14ac:dyDescent="0.3">
      <c r="A35" s="436" t="s">
        <v>45</v>
      </c>
      <c r="B35" s="523">
        <f>M14</f>
        <v>726900.20000000345</v>
      </c>
      <c r="C35" s="113" t="s">
        <v>203</v>
      </c>
      <c r="D35" s="702"/>
      <c r="E35" s="702"/>
      <c r="F35" s="702"/>
      <c r="G35" s="429"/>
      <c r="H35" s="429"/>
      <c r="I35" s="429"/>
    </row>
    <row r="36" spans="1:14" ht="16.2" thickBot="1" x14ac:dyDescent="0.35">
      <c r="A36" s="349" t="s">
        <v>98</v>
      </c>
      <c r="B36" s="355">
        <f>SUM(B31:B35)</f>
        <v>24695444.040000003</v>
      </c>
      <c r="C36"/>
      <c r="D36" s="429"/>
      <c r="E36" s="429"/>
      <c r="F36" s="429"/>
      <c r="G36" s="429"/>
      <c r="H36" s="429"/>
      <c r="I36" s="429"/>
    </row>
    <row r="37" spans="1:14" ht="16.2" thickTop="1" x14ac:dyDescent="0.3">
      <c r="A37" s="347"/>
      <c r="B37" s="354"/>
      <c r="C37"/>
      <c r="D37" s="429"/>
      <c r="E37" s="429"/>
      <c r="F37" s="429"/>
      <c r="G37" s="429"/>
      <c r="H37" s="429"/>
      <c r="I37" s="429"/>
    </row>
    <row r="38" spans="1:14" x14ac:dyDescent="0.3">
      <c r="A38" s="348"/>
      <c r="B38" s="702">
        <f>B23+B17</f>
        <v>555209.2699999786</v>
      </c>
      <c r="C38" s="702">
        <f>C23+C17</f>
        <v>29785336.489999995</v>
      </c>
      <c r="D38" s="702">
        <f>D23+D17</f>
        <v>47715526.859999999</v>
      </c>
      <c r="E38" s="429"/>
      <c r="F38" s="429"/>
      <c r="G38" s="429"/>
      <c r="H38" s="429"/>
      <c r="I38" s="429"/>
    </row>
    <row r="39" spans="1:14" x14ac:dyDescent="0.3">
      <c r="B39" s="705"/>
      <c r="C39" s="705"/>
      <c r="D39" s="705"/>
      <c r="E39" s="528"/>
      <c r="F39" s="528"/>
      <c r="G39" s="528"/>
      <c r="H39" s="528"/>
      <c r="I39" s="528"/>
    </row>
    <row r="40" spans="1:14" x14ac:dyDescent="0.3">
      <c r="C40" s="429"/>
      <c r="D40" s="429"/>
      <c r="E40" s="429"/>
      <c r="F40" s="429"/>
      <c r="G40" s="429"/>
      <c r="H40" s="429"/>
      <c r="I40" s="429"/>
    </row>
    <row r="41" spans="1:14" x14ac:dyDescent="0.3">
      <c r="C41" s="429"/>
      <c r="D41" s="429"/>
      <c r="E41" s="429"/>
      <c r="F41" s="429"/>
      <c r="G41" s="429"/>
      <c r="H41" s="429"/>
      <c r="I41" s="429"/>
    </row>
    <row r="42" spans="1:14" x14ac:dyDescent="0.3">
      <c r="C42" s="429"/>
      <c r="D42" s="429"/>
      <c r="E42" s="429"/>
      <c r="F42" s="429"/>
      <c r="G42" s="429"/>
      <c r="H42" s="429"/>
      <c r="I42" s="429"/>
    </row>
    <row r="43" spans="1:14" x14ac:dyDescent="0.3">
      <c r="C43" s="429"/>
      <c r="D43" s="429"/>
      <c r="E43" s="429"/>
      <c r="F43" s="429"/>
      <c r="G43" s="429"/>
      <c r="H43" s="429"/>
      <c r="I43" s="429"/>
    </row>
    <row r="44" spans="1:14" x14ac:dyDescent="0.3">
      <c r="C44" s="429"/>
      <c r="D44" s="429"/>
      <c r="E44" s="429"/>
      <c r="F44" s="429"/>
      <c r="G44" s="429"/>
      <c r="H44" s="429"/>
      <c r="I44" s="429"/>
    </row>
    <row r="45" spans="1:14" x14ac:dyDescent="0.3">
      <c r="B45" s="762" t="s">
        <v>320</v>
      </c>
      <c r="C45" s="762"/>
      <c r="D45" s="762"/>
      <c r="E45" s="762"/>
      <c r="F45" s="762"/>
      <c r="G45" s="762"/>
      <c r="H45" s="762"/>
      <c r="I45" s="762"/>
      <c r="J45" s="762"/>
    </row>
    <row r="46" spans="1:14" x14ac:dyDescent="0.3">
      <c r="A46" s="673"/>
      <c r="B46" s="753" t="s">
        <v>319</v>
      </c>
      <c r="C46" s="753"/>
      <c r="D46" s="753"/>
      <c r="E46" s="753"/>
      <c r="F46" s="753"/>
      <c r="G46" s="429"/>
      <c r="H46" s="429"/>
      <c r="I46" s="429"/>
    </row>
    <row r="47" spans="1:14" x14ac:dyDescent="0.3">
      <c r="A47" s="673"/>
      <c r="B47" s="672" t="s">
        <v>300</v>
      </c>
      <c r="C47" s="684" t="s">
        <v>301</v>
      </c>
      <c r="D47" s="684" t="s">
        <v>302</v>
      </c>
      <c r="E47" s="672" t="s">
        <v>303</v>
      </c>
      <c r="F47" s="672" t="s">
        <v>304</v>
      </c>
      <c r="G47" s="672" t="s">
        <v>98</v>
      </c>
      <c r="H47" s="672"/>
      <c r="I47" s="672"/>
    </row>
    <row r="48" spans="1:14" s="498" customFormat="1" x14ac:dyDescent="0.3">
      <c r="A48" s="669">
        <v>1</v>
      </c>
      <c r="B48" s="670">
        <v>263381</v>
      </c>
      <c r="C48" s="685">
        <f>B48*0.3</f>
        <v>79014.3</v>
      </c>
      <c r="D48" s="685">
        <f>C48*282</f>
        <v>22282032.600000001</v>
      </c>
      <c r="E48" s="671">
        <f>B48*0.7</f>
        <v>184366.69999999998</v>
      </c>
      <c r="F48" s="671">
        <f>E48*282</f>
        <v>51991409.399999999</v>
      </c>
      <c r="G48" s="668">
        <f>F48+D48</f>
        <v>74273442</v>
      </c>
      <c r="H48" s="668"/>
      <c r="I48" s="668"/>
      <c r="J48" s="674" t="s">
        <v>175</v>
      </c>
      <c r="M48" s="350"/>
      <c r="N48" s="354"/>
    </row>
    <row r="49" spans="1:14" s="498" customFormat="1" x14ac:dyDescent="0.3">
      <c r="A49" s="669">
        <v>2</v>
      </c>
      <c r="B49" s="670">
        <v>298844</v>
      </c>
      <c r="C49" s="685">
        <f>B49*0.3</f>
        <v>89653.2</v>
      </c>
      <c r="D49" s="685">
        <f>C49*282</f>
        <v>25282202.399999999</v>
      </c>
      <c r="E49" s="671">
        <f>B49*0.7</f>
        <v>209190.8</v>
      </c>
      <c r="F49" s="671">
        <f>E49*282</f>
        <v>58991805.599999994</v>
      </c>
      <c r="G49" s="668">
        <f>F49+D49</f>
        <v>84274008</v>
      </c>
      <c r="H49" s="668"/>
      <c r="I49" s="668"/>
      <c r="J49" s="674" t="s">
        <v>190</v>
      </c>
      <c r="M49" s="350"/>
      <c r="N49" s="354"/>
    </row>
    <row r="50" spans="1:14" x14ac:dyDescent="0.3">
      <c r="A50" s="669">
        <v>3</v>
      </c>
      <c r="B50" s="670">
        <v>342466.4</v>
      </c>
      <c r="C50" s="685">
        <f>B50*0.3</f>
        <v>102739.92</v>
      </c>
      <c r="D50" s="685">
        <f>C50*282</f>
        <v>28972657.440000001</v>
      </c>
      <c r="E50" s="671">
        <f>B50*0.7</f>
        <v>239726.48</v>
      </c>
      <c r="F50" s="671">
        <f>E50*282</f>
        <v>67602867.359999999</v>
      </c>
      <c r="G50" s="668">
        <f>F50+D50</f>
        <v>96575524.799999997</v>
      </c>
      <c r="H50" s="668"/>
      <c r="I50" s="668"/>
      <c r="J50" s="674" t="s">
        <v>190</v>
      </c>
    </row>
    <row r="51" spans="1:14" x14ac:dyDescent="0.3">
      <c r="A51" s="669">
        <v>4</v>
      </c>
      <c r="B51" s="670">
        <v>249033.60000000001</v>
      </c>
      <c r="C51" s="685">
        <f>B51*0.3</f>
        <v>74710.080000000002</v>
      </c>
      <c r="D51" s="685">
        <f>C51*282</f>
        <v>21068242.559999999</v>
      </c>
      <c r="E51" s="671">
        <f>B51*0.7</f>
        <v>174323.52</v>
      </c>
      <c r="F51" s="671">
        <f>E51*282</f>
        <v>49159232.640000001</v>
      </c>
      <c r="G51" s="668">
        <f>F51+D51</f>
        <v>70227475.200000003</v>
      </c>
      <c r="H51" s="668"/>
      <c r="I51" s="668"/>
      <c r="J51" s="674" t="s">
        <v>45</v>
      </c>
    </row>
    <row r="52" spans="1:14" x14ac:dyDescent="0.3">
      <c r="A52" s="669"/>
      <c r="B52" s="670">
        <f t="shared" ref="B52:G52" si="0">SUM(B48:B51)</f>
        <v>1153725</v>
      </c>
      <c r="C52" s="686">
        <f t="shared" si="0"/>
        <v>346117.5</v>
      </c>
      <c r="D52" s="686">
        <f t="shared" si="0"/>
        <v>97605135</v>
      </c>
      <c r="E52" s="670">
        <f t="shared" si="0"/>
        <v>807607.5</v>
      </c>
      <c r="F52" s="670">
        <f t="shared" si="0"/>
        <v>227745315</v>
      </c>
      <c r="G52" s="670">
        <f t="shared" si="0"/>
        <v>325350450</v>
      </c>
      <c r="H52" s="670"/>
      <c r="I52" s="670"/>
    </row>
    <row r="53" spans="1:14" x14ac:dyDescent="0.3">
      <c r="C53" s="429"/>
      <c r="D53" s="429"/>
      <c r="E53" s="429"/>
      <c r="F53" s="429"/>
      <c r="G53" s="429"/>
      <c r="H53" s="429"/>
      <c r="I53" s="429"/>
    </row>
    <row r="54" spans="1:14" x14ac:dyDescent="0.3">
      <c r="C54" s="429"/>
      <c r="D54" s="429"/>
      <c r="E54" s="429"/>
      <c r="F54" s="429"/>
      <c r="G54" s="429"/>
      <c r="H54" s="429"/>
      <c r="I54" s="429"/>
    </row>
    <row r="55" spans="1:14" x14ac:dyDescent="0.3">
      <c r="C55" s="429"/>
      <c r="D55" s="429"/>
      <c r="E55" s="429"/>
      <c r="F55" s="429"/>
      <c r="G55" s="429"/>
      <c r="H55" s="429"/>
      <c r="I55" s="429"/>
    </row>
    <row r="56" spans="1:14" x14ac:dyDescent="0.3">
      <c r="C56" s="429"/>
      <c r="D56" s="429"/>
      <c r="E56" s="429"/>
      <c r="F56" s="702">
        <f>F50+F49+F17</f>
        <v>126594672.95999999</v>
      </c>
      <c r="G56" s="429"/>
      <c r="H56" s="429"/>
      <c r="I56" s="429"/>
    </row>
    <row r="57" spans="1:14" x14ac:dyDescent="0.3">
      <c r="C57" s="429"/>
      <c r="D57" s="429"/>
      <c r="E57" s="429"/>
      <c r="F57" s="429"/>
      <c r="G57" s="429"/>
      <c r="H57" s="429"/>
      <c r="I57" s="429"/>
    </row>
    <row r="58" spans="1:14" x14ac:dyDescent="0.3">
      <c r="C58" s="429"/>
      <c r="D58" s="429"/>
      <c r="E58" s="429"/>
      <c r="F58" s="429"/>
      <c r="G58" s="429"/>
      <c r="H58" s="429"/>
      <c r="I58" s="429"/>
    </row>
    <row r="59" spans="1:14" x14ac:dyDescent="0.3">
      <c r="B59" s="498">
        <v>371917</v>
      </c>
      <c r="C59" s="668">
        <v>0</v>
      </c>
      <c r="D59" s="668">
        <f>B59*281</f>
        <v>104508677</v>
      </c>
      <c r="E59" s="429"/>
      <c r="F59" s="429"/>
      <c r="G59" s="429"/>
      <c r="H59" s="429"/>
      <c r="I59" s="429"/>
    </row>
    <row r="60" spans="1:14" x14ac:dyDescent="0.3">
      <c r="B60" s="498">
        <v>291690</v>
      </c>
      <c r="C60" s="668">
        <v>0</v>
      </c>
      <c r="D60" s="668">
        <f>B60*281</f>
        <v>81964890</v>
      </c>
      <c r="E60" s="429"/>
      <c r="F60" s="429"/>
      <c r="G60" s="429"/>
      <c r="H60" s="429"/>
      <c r="I60" s="429"/>
    </row>
    <row r="61" spans="1:14" x14ac:dyDescent="0.3">
      <c r="C61" s="429"/>
      <c r="D61" s="429"/>
      <c r="E61" s="429"/>
      <c r="F61" s="429"/>
      <c r="G61" s="429"/>
      <c r="H61" s="429"/>
      <c r="I61" s="429"/>
    </row>
    <row r="62" spans="1:14" x14ac:dyDescent="0.3">
      <c r="C62" s="429"/>
      <c r="D62" s="429"/>
      <c r="E62" s="429"/>
      <c r="F62" s="429"/>
      <c r="G62" s="429"/>
      <c r="H62" s="429"/>
      <c r="I62" s="429"/>
    </row>
    <row r="63" spans="1:14" x14ac:dyDescent="0.3">
      <c r="C63" s="429"/>
      <c r="D63" s="429"/>
      <c r="E63" s="429"/>
      <c r="F63" s="429"/>
      <c r="G63" s="429"/>
      <c r="H63" s="429"/>
      <c r="I63" s="429"/>
    </row>
    <row r="64" spans="1:14" x14ac:dyDescent="0.3">
      <c r="C64" s="429"/>
      <c r="D64" s="429"/>
      <c r="E64" s="429"/>
      <c r="F64" s="429"/>
      <c r="G64" s="429"/>
      <c r="H64" s="429"/>
      <c r="I64" s="429"/>
    </row>
    <row r="65" spans="2:9" x14ac:dyDescent="0.3">
      <c r="C65" s="429"/>
      <c r="D65" s="429"/>
      <c r="E65" s="429"/>
      <c r="F65" s="429"/>
      <c r="G65" s="429"/>
      <c r="H65" s="429"/>
      <c r="I65" s="429"/>
    </row>
    <row r="66" spans="2:9" x14ac:dyDescent="0.3">
      <c r="B66">
        <v>228000</v>
      </c>
      <c r="C66" s="429" t="s">
        <v>45</v>
      </c>
      <c r="D66" s="429"/>
      <c r="E66" s="429"/>
      <c r="F66" s="429"/>
      <c r="G66" s="429"/>
      <c r="H66" s="429"/>
      <c r="I66" s="429"/>
    </row>
    <row r="67" spans="2:9" x14ac:dyDescent="0.3">
      <c r="C67" s="429"/>
      <c r="D67" s="429"/>
      <c r="E67" s="429"/>
      <c r="F67" s="429"/>
      <c r="G67" s="429"/>
      <c r="H67" s="429"/>
      <c r="I67" s="429"/>
    </row>
    <row r="68" spans="2:9" x14ac:dyDescent="0.3">
      <c r="C68" s="429"/>
      <c r="D68" s="429"/>
      <c r="E68" s="429"/>
      <c r="F68" s="429"/>
      <c r="G68" s="429"/>
      <c r="H68" s="429"/>
      <c r="I68" s="429"/>
    </row>
    <row r="69" spans="2:9" x14ac:dyDescent="0.3">
      <c r="C69" s="429"/>
      <c r="D69" s="429"/>
      <c r="E69" s="429"/>
      <c r="F69" s="429"/>
      <c r="G69" s="429"/>
      <c r="H69" s="429"/>
      <c r="I69" s="429"/>
    </row>
    <row r="70" spans="2:9" x14ac:dyDescent="0.3">
      <c r="C70" s="429"/>
      <c r="D70" s="429"/>
      <c r="E70" s="429"/>
      <c r="F70" s="429"/>
      <c r="G70" s="429"/>
      <c r="H70" s="429"/>
      <c r="I70" s="429"/>
    </row>
    <row r="71" spans="2:9" x14ac:dyDescent="0.3">
      <c r="C71" s="429"/>
      <c r="D71" s="429"/>
      <c r="E71" s="429"/>
      <c r="F71" s="429"/>
      <c r="G71" s="429"/>
      <c r="H71" s="429"/>
      <c r="I71" s="429"/>
    </row>
    <row r="72" spans="2:9" x14ac:dyDescent="0.3">
      <c r="C72" s="429"/>
      <c r="D72" s="429"/>
      <c r="E72" s="429"/>
      <c r="F72" s="429"/>
      <c r="G72" s="429"/>
      <c r="H72" s="429"/>
      <c r="I72" s="429"/>
    </row>
    <row r="73" spans="2:9" x14ac:dyDescent="0.3">
      <c r="C73" s="429"/>
      <c r="D73" s="429"/>
      <c r="E73" s="429"/>
      <c r="F73" s="429"/>
      <c r="G73" s="429"/>
      <c r="H73" s="429"/>
      <c r="I73" s="429"/>
    </row>
    <row r="74" spans="2:9" x14ac:dyDescent="0.3">
      <c r="C74" s="429"/>
      <c r="D74" s="429"/>
      <c r="E74" s="429"/>
      <c r="F74" s="429"/>
      <c r="G74" s="429"/>
      <c r="H74" s="429"/>
      <c r="I74" s="429"/>
    </row>
    <row r="75" spans="2:9" x14ac:dyDescent="0.3">
      <c r="C75" s="429"/>
      <c r="D75" s="429"/>
      <c r="E75" s="429"/>
      <c r="F75" s="429"/>
      <c r="G75" s="429"/>
      <c r="H75" s="429"/>
      <c r="I75" s="429"/>
    </row>
    <row r="76" spans="2:9" x14ac:dyDescent="0.3">
      <c r="C76" s="429"/>
      <c r="D76" s="429"/>
      <c r="E76" s="429"/>
      <c r="F76" s="429"/>
      <c r="G76" s="429"/>
      <c r="H76" s="429"/>
      <c r="I76" s="429"/>
    </row>
    <row r="77" spans="2:9" x14ac:dyDescent="0.3">
      <c r="C77" s="429"/>
      <c r="D77" s="429"/>
      <c r="E77" s="429"/>
      <c r="F77" s="429"/>
      <c r="G77" s="429"/>
      <c r="H77" s="429"/>
      <c r="I77" s="429"/>
    </row>
    <row r="78" spans="2:9" x14ac:dyDescent="0.3">
      <c r="C78" s="429"/>
      <c r="D78" s="429"/>
      <c r="E78" s="429"/>
      <c r="F78" s="429"/>
      <c r="G78" s="429"/>
      <c r="H78" s="429"/>
      <c r="I78" s="429"/>
    </row>
    <row r="79" spans="2:9" x14ac:dyDescent="0.3">
      <c r="C79" s="429"/>
      <c r="D79" s="429"/>
      <c r="E79" s="429"/>
      <c r="F79" s="429"/>
      <c r="G79" s="429"/>
      <c r="H79" s="429"/>
      <c r="I79" s="429"/>
    </row>
    <row r="80" spans="2:9" x14ac:dyDescent="0.3">
      <c r="C80" s="429"/>
      <c r="D80" s="429"/>
      <c r="E80" s="429"/>
      <c r="F80" s="429"/>
      <c r="G80" s="429"/>
      <c r="H80" s="429"/>
      <c r="I80" s="429"/>
    </row>
    <row r="81" spans="3:9" x14ac:dyDescent="0.3">
      <c r="C81" s="429"/>
      <c r="D81" s="429"/>
      <c r="E81" s="429"/>
      <c r="F81" s="429"/>
      <c r="G81" s="429"/>
      <c r="H81" s="429"/>
      <c r="I81" s="429"/>
    </row>
    <row r="82" spans="3:9" x14ac:dyDescent="0.3">
      <c r="C82" s="429"/>
      <c r="D82" s="429"/>
      <c r="E82" s="429"/>
      <c r="F82" s="429"/>
      <c r="G82" s="429"/>
      <c r="H82" s="429"/>
      <c r="I82" s="429"/>
    </row>
    <row r="83" spans="3:9" x14ac:dyDescent="0.3">
      <c r="C83" s="429"/>
      <c r="D83" s="429"/>
      <c r="E83" s="429"/>
      <c r="F83" s="429"/>
      <c r="G83" s="429"/>
      <c r="H83" s="429"/>
      <c r="I83" s="429"/>
    </row>
  </sheetData>
  <mergeCells count="12">
    <mergeCell ref="A1:J1"/>
    <mergeCell ref="A2:J2"/>
    <mergeCell ref="A3:J3"/>
    <mergeCell ref="A4:J4"/>
    <mergeCell ref="A5:J5"/>
    <mergeCell ref="A7:J7"/>
    <mergeCell ref="B46:F46"/>
    <mergeCell ref="K5:K7"/>
    <mergeCell ref="A26:J26"/>
    <mergeCell ref="A14:J14"/>
    <mergeCell ref="A20:J20"/>
    <mergeCell ref="B45:J4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7FFA-F337-4911-B1AA-980217CC4760}">
  <dimension ref="B3:K15"/>
  <sheetViews>
    <sheetView workbookViewId="0">
      <selection activeCell="H23" sqref="H23"/>
    </sheetView>
  </sheetViews>
  <sheetFormatPr defaultRowHeight="15" x14ac:dyDescent="0.25"/>
  <cols>
    <col min="1" max="1" width="2.453125" customWidth="1"/>
    <col min="2" max="2" width="5.453125" bestFit="1" customWidth="1"/>
    <col min="3" max="3" width="10.81640625" bestFit="1" customWidth="1"/>
    <col min="4" max="4" width="13.36328125" bestFit="1" customWidth="1"/>
    <col min="5" max="5" width="10.08984375" bestFit="1" customWidth="1"/>
    <col min="6" max="6" width="11.453125" bestFit="1" customWidth="1"/>
    <col min="7" max="7" width="9.36328125" bestFit="1" customWidth="1"/>
    <col min="8" max="9" width="12.26953125" bestFit="1" customWidth="1"/>
    <col min="10" max="10" width="13.26953125" bestFit="1" customWidth="1"/>
    <col min="11" max="11" width="5.90625" bestFit="1" customWidth="1"/>
  </cols>
  <sheetData>
    <row r="3" spans="2:11" ht="15.6" x14ac:dyDescent="0.3">
      <c r="E3" s="429"/>
      <c r="F3" s="429"/>
      <c r="G3" s="429"/>
      <c r="H3" s="429"/>
      <c r="I3" s="429"/>
      <c r="J3" s="429"/>
    </row>
    <row r="4" spans="2:11" ht="15.6" customHeight="1" x14ac:dyDescent="0.3">
      <c r="B4" s="777" t="s">
        <v>298</v>
      </c>
      <c r="C4" s="777"/>
      <c r="D4" s="777"/>
      <c r="E4" s="777"/>
      <c r="F4" s="777"/>
      <c r="G4" s="777"/>
      <c r="H4" s="777"/>
      <c r="I4" s="777"/>
      <c r="J4" s="777"/>
      <c r="K4" s="777"/>
    </row>
    <row r="5" spans="2:11" ht="15.6" x14ac:dyDescent="0.3">
      <c r="B5" s="678" t="s">
        <v>306</v>
      </c>
      <c r="C5" s="678" t="s">
        <v>307</v>
      </c>
      <c r="D5" s="679" t="s">
        <v>310</v>
      </c>
      <c r="E5" s="680" t="s">
        <v>301</v>
      </c>
      <c r="F5" s="680" t="s">
        <v>302</v>
      </c>
      <c r="G5" s="680" t="s">
        <v>303</v>
      </c>
      <c r="H5" s="680" t="s">
        <v>304</v>
      </c>
      <c r="I5" s="680" t="s">
        <v>98</v>
      </c>
      <c r="J5" s="680" t="s">
        <v>314</v>
      </c>
      <c r="K5" s="681"/>
    </row>
    <row r="6" spans="2:11" ht="15.6" x14ac:dyDescent="0.3">
      <c r="B6" s="675">
        <v>1</v>
      </c>
      <c r="C6" s="675" t="s">
        <v>308</v>
      </c>
      <c r="D6" s="676">
        <v>217500</v>
      </c>
      <c r="E6" s="677">
        <f>D6*0.3</f>
        <v>65250</v>
      </c>
      <c r="F6" s="677">
        <f>E6*283</f>
        <v>18465750</v>
      </c>
      <c r="G6" s="677">
        <f>D6*0.7</f>
        <v>152250</v>
      </c>
      <c r="H6" s="677">
        <f>G6*283</f>
        <v>43086750</v>
      </c>
      <c r="I6" s="677">
        <f>H6+F6</f>
        <v>61552500</v>
      </c>
      <c r="J6" s="677" t="s">
        <v>315</v>
      </c>
      <c r="K6" s="677" t="s">
        <v>45</v>
      </c>
    </row>
    <row r="7" spans="2:11" ht="15.6" x14ac:dyDescent="0.3">
      <c r="B7" s="675">
        <v>2</v>
      </c>
      <c r="C7" s="675" t="s">
        <v>309</v>
      </c>
      <c r="D7" s="676">
        <v>374000</v>
      </c>
      <c r="E7" s="677">
        <f>D7*0.3</f>
        <v>112200</v>
      </c>
      <c r="F7" s="677">
        <f>E7*283</f>
        <v>31752600</v>
      </c>
      <c r="G7" s="677">
        <f>D7*0.7</f>
        <v>261799.99999999997</v>
      </c>
      <c r="H7" s="677">
        <f>G7*283</f>
        <v>74089399.999999985</v>
      </c>
      <c r="I7" s="677">
        <f>H7+F7</f>
        <v>105841999.99999999</v>
      </c>
      <c r="J7" s="677" t="s">
        <v>315</v>
      </c>
      <c r="K7" s="677" t="s">
        <v>45</v>
      </c>
    </row>
    <row r="8" spans="2:11" ht="15.6" x14ac:dyDescent="0.3">
      <c r="B8" s="675"/>
      <c r="C8" s="675"/>
      <c r="D8" s="682">
        <f t="shared" ref="D8:I8" si="0">SUM(D6:D7)</f>
        <v>591500</v>
      </c>
      <c r="E8" s="682">
        <f t="shared" si="0"/>
        <v>177450</v>
      </c>
      <c r="F8" s="682">
        <f t="shared" si="0"/>
        <v>50218350</v>
      </c>
      <c r="G8" s="682">
        <f t="shared" si="0"/>
        <v>414050</v>
      </c>
      <c r="H8" s="682">
        <f t="shared" si="0"/>
        <v>117176149.99999999</v>
      </c>
      <c r="I8" s="682">
        <f t="shared" si="0"/>
        <v>167394500</v>
      </c>
      <c r="J8" s="778"/>
      <c r="K8" s="779"/>
    </row>
    <row r="9" spans="2:11" ht="15.6" customHeight="1" x14ac:dyDescent="0.3">
      <c r="B9" s="777" t="s">
        <v>299</v>
      </c>
      <c r="C9" s="777"/>
      <c r="D9" s="777"/>
      <c r="E9" s="777"/>
      <c r="F9" s="777"/>
      <c r="G9" s="777"/>
      <c r="H9" s="777"/>
      <c r="I9" s="777"/>
      <c r="J9" s="777"/>
      <c r="K9" s="777"/>
    </row>
    <row r="10" spans="2:11" ht="15.6" x14ac:dyDescent="0.3">
      <c r="B10" s="681" t="s">
        <v>306</v>
      </c>
      <c r="C10" s="678" t="s">
        <v>307</v>
      </c>
      <c r="D10" s="679" t="s">
        <v>310</v>
      </c>
      <c r="E10" s="680" t="s">
        <v>301</v>
      </c>
      <c r="F10" s="680" t="s">
        <v>302</v>
      </c>
      <c r="G10" s="680" t="s">
        <v>303</v>
      </c>
      <c r="H10" s="680" t="s">
        <v>304</v>
      </c>
      <c r="I10" s="680" t="s">
        <v>98</v>
      </c>
      <c r="J10" s="680" t="s">
        <v>314</v>
      </c>
      <c r="K10" s="681"/>
    </row>
    <row r="11" spans="2:11" ht="15.6" x14ac:dyDescent="0.3">
      <c r="B11" s="675">
        <v>1</v>
      </c>
      <c r="C11" s="675" t="s">
        <v>311</v>
      </c>
      <c r="D11" s="676">
        <v>63750</v>
      </c>
      <c r="E11" s="677">
        <f>D11*0.3</f>
        <v>19125</v>
      </c>
      <c r="F11" s="677">
        <f>E11*283</f>
        <v>5412375</v>
      </c>
      <c r="G11" s="677">
        <f>D11*0.7</f>
        <v>44625</v>
      </c>
      <c r="H11" s="677">
        <f>G11*283</f>
        <v>12628875</v>
      </c>
      <c r="I11" s="677">
        <f>H11+F11</f>
        <v>18041250</v>
      </c>
      <c r="J11" s="677" t="s">
        <v>316</v>
      </c>
      <c r="K11" s="675" t="s">
        <v>305</v>
      </c>
    </row>
    <row r="12" spans="2:11" ht="15.6" x14ac:dyDescent="0.3">
      <c r="B12" s="675">
        <v>2</v>
      </c>
      <c r="C12" s="675" t="s">
        <v>308</v>
      </c>
      <c r="D12" s="676">
        <v>171600</v>
      </c>
      <c r="E12" s="677">
        <f>D12*0.3</f>
        <v>51480</v>
      </c>
      <c r="F12" s="677">
        <f>E12*283</f>
        <v>14568840</v>
      </c>
      <c r="G12" s="677">
        <f>D12*0.7</f>
        <v>120119.99999999999</v>
      </c>
      <c r="H12" s="677">
        <f>G12*283</f>
        <v>33993959.999999993</v>
      </c>
      <c r="I12" s="677">
        <f>H12+F12</f>
        <v>48562799.999999993</v>
      </c>
      <c r="J12" s="677" t="s">
        <v>317</v>
      </c>
      <c r="K12" s="675" t="s">
        <v>175</v>
      </c>
    </row>
    <row r="13" spans="2:11" ht="15.6" x14ac:dyDescent="0.3">
      <c r="B13" s="675">
        <v>3</v>
      </c>
      <c r="C13" s="675" t="s">
        <v>312</v>
      </c>
      <c r="D13" s="676">
        <v>165000</v>
      </c>
      <c r="E13" s="677">
        <f>D13*0.3</f>
        <v>49500</v>
      </c>
      <c r="F13" s="677">
        <f>E13*283</f>
        <v>14008500</v>
      </c>
      <c r="G13" s="677">
        <f>D13*0.7</f>
        <v>115499.99999999999</v>
      </c>
      <c r="H13" s="677">
        <f>G13*283</f>
        <v>32686499.999999996</v>
      </c>
      <c r="I13" s="677">
        <f>H13+F13</f>
        <v>46695000</v>
      </c>
      <c r="J13" s="677" t="s">
        <v>317</v>
      </c>
      <c r="K13" s="675" t="s">
        <v>175</v>
      </c>
    </row>
    <row r="14" spans="2:11" ht="15.6" x14ac:dyDescent="0.3">
      <c r="B14" s="675">
        <v>4</v>
      </c>
      <c r="C14" s="675" t="s">
        <v>313</v>
      </c>
      <c r="D14" s="676">
        <v>161875</v>
      </c>
      <c r="E14" s="677">
        <f>D14*0.3</f>
        <v>48562.5</v>
      </c>
      <c r="F14" s="677">
        <f>E14*283</f>
        <v>13743187.5</v>
      </c>
      <c r="G14" s="677">
        <f>D14*0.7</f>
        <v>113312.5</v>
      </c>
      <c r="H14" s="677">
        <f>G14*283</f>
        <v>32067437.5</v>
      </c>
      <c r="I14" s="677">
        <f>H14+F14</f>
        <v>45810625</v>
      </c>
      <c r="J14" s="677" t="s">
        <v>318</v>
      </c>
      <c r="K14" s="675" t="s">
        <v>155</v>
      </c>
    </row>
    <row r="15" spans="2:11" ht="15.6" x14ac:dyDescent="0.3">
      <c r="B15" s="675"/>
      <c r="C15" s="675"/>
      <c r="D15" s="682">
        <f t="shared" ref="D15:I15" si="1">SUM(D11:D14)</f>
        <v>562225</v>
      </c>
      <c r="E15" s="682">
        <f t="shared" si="1"/>
        <v>168667.5</v>
      </c>
      <c r="F15" s="682">
        <f t="shared" si="1"/>
        <v>47732902.5</v>
      </c>
      <c r="G15" s="682">
        <f t="shared" si="1"/>
        <v>393557.5</v>
      </c>
      <c r="H15" s="682">
        <f t="shared" si="1"/>
        <v>111376772.49999999</v>
      </c>
      <c r="I15" s="682">
        <f t="shared" si="1"/>
        <v>159109675</v>
      </c>
      <c r="J15" s="778"/>
      <c r="K15" s="779"/>
    </row>
  </sheetData>
  <mergeCells count="4">
    <mergeCell ref="B9:K9"/>
    <mergeCell ref="B4:K4"/>
    <mergeCell ref="J15:K15"/>
    <mergeCell ref="J8:K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513F-610B-42F8-B37B-3928F557F9C2}">
  <sheetPr>
    <pageSetUpPr fitToPage="1"/>
  </sheetPr>
  <dimension ref="A1:L49"/>
  <sheetViews>
    <sheetView showGridLines="0" topLeftCell="A9" zoomScaleNormal="100" workbookViewId="0">
      <selection activeCell="B14" sqref="B14"/>
    </sheetView>
  </sheetViews>
  <sheetFormatPr defaultColWidth="10.6328125" defaultRowHeight="13.8" x14ac:dyDescent="0.3"/>
  <cols>
    <col min="1" max="1" width="9.6328125" style="2" customWidth="1"/>
    <col min="2" max="2" width="12.453125" style="123" customWidth="1"/>
    <col min="3" max="3" width="8.36328125" style="123" customWidth="1"/>
    <col min="4" max="4" width="8.7265625" style="123" customWidth="1"/>
    <col min="5" max="5" width="12" style="123" customWidth="1"/>
    <col min="6" max="6" width="2.36328125" style="2" customWidth="1"/>
    <col min="7" max="7" width="6.08984375" style="2" customWidth="1"/>
    <col min="8" max="8" width="7.7265625" style="359" customWidth="1"/>
    <col min="9" max="9" width="10.08984375" style="2" customWidth="1"/>
    <col min="10" max="10" width="13.90625" style="2" bestFit="1" customWidth="1"/>
    <col min="11" max="11" width="11.81640625" style="2" bestFit="1" customWidth="1"/>
    <col min="12" max="12" width="11.453125" style="2" bestFit="1" customWidth="1"/>
    <col min="13" max="16384" width="10.6328125" style="2"/>
  </cols>
  <sheetData>
    <row r="1" spans="1:12" ht="18" x14ac:dyDescent="0.35">
      <c r="A1" s="788" t="s">
        <v>174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2" ht="18.600000000000001" thickBot="1" x14ac:dyDescent="0.4">
      <c r="A2" s="789" t="s">
        <v>177</v>
      </c>
      <c r="B2" s="789"/>
      <c r="C2" s="789"/>
      <c r="D2" s="789"/>
      <c r="E2" s="789"/>
      <c r="F2" s="789"/>
      <c r="G2" s="789"/>
      <c r="H2" s="789"/>
      <c r="I2" s="789"/>
      <c r="J2" s="58">
        <f>'FINANCIAL COST SUMMARY '!I2</f>
        <v>46204</v>
      </c>
    </row>
    <row r="3" spans="1:12" x14ac:dyDescent="0.3">
      <c r="A3" s="790"/>
      <c r="B3" s="790"/>
      <c r="C3" s="790"/>
      <c r="D3" s="790"/>
      <c r="E3" s="790"/>
      <c r="F3" s="790"/>
      <c r="G3" s="790"/>
      <c r="H3" s="790"/>
      <c r="I3" s="790"/>
      <c r="J3" s="790"/>
      <c r="K3" s="321">
        <v>45359653.409999982</v>
      </c>
    </row>
    <row r="4" spans="1:12" ht="15.6" customHeight="1" x14ac:dyDescent="0.3">
      <c r="A4" s="791" t="s">
        <v>4</v>
      </c>
      <c r="B4" s="241" t="s">
        <v>158</v>
      </c>
      <c r="C4" s="242" t="s">
        <v>11</v>
      </c>
      <c r="D4" s="243"/>
      <c r="E4" s="241" t="s">
        <v>159</v>
      </c>
      <c r="G4" s="244" t="s">
        <v>160</v>
      </c>
      <c r="H4" s="793" t="s">
        <v>187</v>
      </c>
      <c r="I4" s="245" t="s">
        <v>161</v>
      </c>
      <c r="J4" s="246" t="s">
        <v>162</v>
      </c>
    </row>
    <row r="5" spans="1:12" x14ac:dyDescent="0.3">
      <c r="A5" s="792"/>
      <c r="B5" s="326" t="s">
        <v>1</v>
      </c>
      <c r="C5" s="247" t="s">
        <v>12</v>
      </c>
      <c r="D5" s="247" t="s">
        <v>13</v>
      </c>
      <c r="E5" s="247" t="s">
        <v>163</v>
      </c>
      <c r="G5" s="248" t="s">
        <v>164</v>
      </c>
      <c r="H5" s="794"/>
      <c r="I5" s="249" t="s">
        <v>165</v>
      </c>
      <c r="J5" s="250" t="s">
        <v>166</v>
      </c>
    </row>
    <row r="6" spans="1:12" x14ac:dyDescent="0.3">
      <c r="A6" s="324">
        <v>46204</v>
      </c>
      <c r="B6" s="321">
        <f>-'[4]01 July'!$H$12</f>
        <v>45359653.409999982</v>
      </c>
      <c r="C6" s="325"/>
      <c r="D6" s="251"/>
      <c r="E6" s="73">
        <f>SUM(B6:D6)</f>
        <v>45359653.409999982</v>
      </c>
      <c r="G6" s="252">
        <v>0.01</v>
      </c>
      <c r="H6" s="496">
        <v>0.1203</v>
      </c>
      <c r="I6" s="254">
        <f t="shared" ref="I6:I29" si="0">+H6+G6</f>
        <v>0.1303</v>
      </c>
      <c r="J6" s="255">
        <f>IF(E6&lt;0,0,E6*I6/365)</f>
        <v>16192.774902254787</v>
      </c>
      <c r="K6" s="1">
        <f>E6-K3</f>
        <v>0</v>
      </c>
      <c r="L6" s="311"/>
    </row>
    <row r="7" spans="1:12" x14ac:dyDescent="0.3">
      <c r="A7" s="324">
        <f>+A6+1</f>
        <v>46205</v>
      </c>
      <c r="B7" s="321">
        <f>-'[4]02 July'!$H$12</f>
        <v>359688.20999997854</v>
      </c>
      <c r="C7" s="325"/>
      <c r="D7" s="251"/>
      <c r="E7" s="73">
        <f t="shared" ref="E7:E33" si="1">SUM(B7:D7)</f>
        <v>359688.20999997854</v>
      </c>
      <c r="G7" s="256">
        <f>+G6</f>
        <v>0.01</v>
      </c>
      <c r="H7" s="496">
        <f>H6</f>
        <v>0.1203</v>
      </c>
      <c r="I7" s="254">
        <f t="shared" si="0"/>
        <v>0.1303</v>
      </c>
      <c r="J7" s="255">
        <f>IF(E7&lt;0,0,E7*I7/365)</f>
        <v>128.40376373423891</v>
      </c>
      <c r="K7" s="74">
        <f>+E7-E6</f>
        <v>-44999965.200000003</v>
      </c>
    </row>
    <row r="8" spans="1:12" x14ac:dyDescent="0.3">
      <c r="A8" s="324">
        <f t="shared" ref="A8:A36" si="2">+A7+1</f>
        <v>46206</v>
      </c>
      <c r="B8" s="321">
        <f>-'[4]03 July'!$H$12</f>
        <v>359723.00999997853</v>
      </c>
      <c r="C8" s="325"/>
      <c r="D8" s="251"/>
      <c r="E8" s="73">
        <f t="shared" si="1"/>
        <v>359723.00999997853</v>
      </c>
      <c r="G8" s="256">
        <f t="shared" ref="G8:G36" si="3">+G7</f>
        <v>0.01</v>
      </c>
      <c r="H8" s="496">
        <f t="shared" ref="H8:H36" si="4">H7</f>
        <v>0.1203</v>
      </c>
      <c r="I8" s="254">
        <f t="shared" si="0"/>
        <v>0.1303</v>
      </c>
      <c r="J8" s="255">
        <f t="shared" ref="J8:J32" si="5">IF(E8&lt;0,0,E8*I8/365)</f>
        <v>128.41618685752658</v>
      </c>
      <c r="K8" s="74">
        <f t="shared" ref="K8:K34" si="6">+E8-E7</f>
        <v>34.799999999988358</v>
      </c>
      <c r="L8" s="74"/>
    </row>
    <row r="9" spans="1:12" x14ac:dyDescent="0.3">
      <c r="A9" s="324">
        <f t="shared" si="2"/>
        <v>46207</v>
      </c>
      <c r="B9" s="321">
        <f>-'[4]03 July'!$H$12</f>
        <v>359723.00999997853</v>
      </c>
      <c r="C9" s="325"/>
      <c r="D9" s="251"/>
      <c r="E9" s="73">
        <f t="shared" si="1"/>
        <v>359723.00999997853</v>
      </c>
      <c r="G9" s="256">
        <f t="shared" si="3"/>
        <v>0.01</v>
      </c>
      <c r="H9" s="496">
        <f t="shared" si="4"/>
        <v>0.1203</v>
      </c>
      <c r="I9" s="254">
        <f t="shared" si="0"/>
        <v>0.1303</v>
      </c>
      <c r="J9" s="255">
        <f t="shared" si="5"/>
        <v>128.41618685752658</v>
      </c>
      <c r="K9" s="74">
        <f t="shared" si="6"/>
        <v>0</v>
      </c>
    </row>
    <row r="10" spans="1:12" x14ac:dyDescent="0.3">
      <c r="A10" s="232">
        <f t="shared" si="2"/>
        <v>46208</v>
      </c>
      <c r="B10" s="321">
        <f>-'[4]03 July'!$H$12</f>
        <v>359723.00999997853</v>
      </c>
      <c r="C10" s="73"/>
      <c r="D10" s="73"/>
      <c r="E10" s="73">
        <f t="shared" si="1"/>
        <v>359723.00999997853</v>
      </c>
      <c r="G10" s="256">
        <f t="shared" si="3"/>
        <v>0.01</v>
      </c>
      <c r="H10" s="496">
        <f t="shared" si="4"/>
        <v>0.1203</v>
      </c>
      <c r="I10" s="254">
        <f t="shared" si="0"/>
        <v>0.1303</v>
      </c>
      <c r="J10" s="255">
        <f t="shared" si="5"/>
        <v>128.41618685752658</v>
      </c>
      <c r="K10" s="74">
        <f t="shared" si="6"/>
        <v>0</v>
      </c>
    </row>
    <row r="11" spans="1:12" x14ac:dyDescent="0.3">
      <c r="A11" s="232">
        <f t="shared" si="2"/>
        <v>46209</v>
      </c>
      <c r="B11" s="321">
        <f>-'[4]06 July'!$H$12</f>
        <v>359757.80999997852</v>
      </c>
      <c r="C11" s="73"/>
      <c r="D11" s="73"/>
      <c r="E11" s="73">
        <f>SUM(B11:D11)</f>
        <v>359757.80999997852</v>
      </c>
      <c r="G11" s="256">
        <f t="shared" si="3"/>
        <v>0.01</v>
      </c>
      <c r="H11" s="496">
        <f t="shared" si="4"/>
        <v>0.1203</v>
      </c>
      <c r="I11" s="254">
        <f t="shared" si="0"/>
        <v>0.1303</v>
      </c>
      <c r="J11" s="255">
        <f t="shared" si="5"/>
        <v>128.42860998081426</v>
      </c>
      <c r="K11" s="74">
        <f t="shared" si="6"/>
        <v>34.799999999988358</v>
      </c>
    </row>
    <row r="12" spans="1:12" x14ac:dyDescent="0.3">
      <c r="A12" s="232">
        <f t="shared" si="2"/>
        <v>46210</v>
      </c>
      <c r="B12" s="321">
        <f>-'[4]07 July'!$H$12</f>
        <v>555139.66999997851</v>
      </c>
      <c r="C12" s="73"/>
      <c r="D12" s="73"/>
      <c r="E12" s="73">
        <f t="shared" si="1"/>
        <v>555139.66999997851</v>
      </c>
      <c r="G12" s="256">
        <f t="shared" si="3"/>
        <v>0.01</v>
      </c>
      <c r="H12" s="496">
        <f t="shared" si="4"/>
        <v>0.1203</v>
      </c>
      <c r="I12" s="254">
        <f t="shared" si="0"/>
        <v>0.1303</v>
      </c>
      <c r="J12" s="255">
        <f t="shared" si="5"/>
        <v>198.1772575369786</v>
      </c>
      <c r="K12" s="74">
        <f t="shared" si="6"/>
        <v>195381.86</v>
      </c>
      <c r="L12" s="74"/>
    </row>
    <row r="13" spans="1:12" x14ac:dyDescent="0.3">
      <c r="A13" s="232">
        <f t="shared" si="2"/>
        <v>46211</v>
      </c>
      <c r="B13" s="321">
        <f>-'[4]08 July'!$H$12</f>
        <v>555174.46999997855</v>
      </c>
      <c r="C13" s="73"/>
      <c r="D13" s="73"/>
      <c r="E13" s="73">
        <f t="shared" si="1"/>
        <v>555174.46999997855</v>
      </c>
      <c r="G13" s="256">
        <f t="shared" si="3"/>
        <v>0.01</v>
      </c>
      <c r="H13" s="496">
        <f t="shared" si="4"/>
        <v>0.1203</v>
      </c>
      <c r="I13" s="254">
        <f t="shared" si="0"/>
        <v>0.1303</v>
      </c>
      <c r="J13" s="255">
        <f t="shared" si="5"/>
        <v>198.18968066026633</v>
      </c>
      <c r="K13" s="74">
        <f t="shared" si="6"/>
        <v>34.800000000046566</v>
      </c>
    </row>
    <row r="14" spans="1:12" x14ac:dyDescent="0.3">
      <c r="A14" s="232">
        <f t="shared" si="2"/>
        <v>46212</v>
      </c>
      <c r="B14" s="321">
        <f>-'[4]09 July'!$H$12</f>
        <v>555209.2699999786</v>
      </c>
      <c r="C14" s="73"/>
      <c r="D14" s="73"/>
      <c r="E14" s="73">
        <f>SUM(B14:D14)</f>
        <v>555209.2699999786</v>
      </c>
      <c r="G14" s="256">
        <f t="shared" si="3"/>
        <v>0.01</v>
      </c>
      <c r="H14" s="496">
        <f t="shared" si="4"/>
        <v>0.1203</v>
      </c>
      <c r="I14" s="254">
        <f t="shared" si="0"/>
        <v>0.1303</v>
      </c>
      <c r="J14" s="255">
        <f t="shared" si="5"/>
        <v>198.20210378355401</v>
      </c>
      <c r="K14" s="74">
        <f t="shared" si="6"/>
        <v>34.800000000046566</v>
      </c>
    </row>
    <row r="15" spans="1:12" x14ac:dyDescent="0.3">
      <c r="A15" s="232">
        <f t="shared" si="2"/>
        <v>46213</v>
      </c>
      <c r="B15" s="321">
        <f t="shared" ref="B15:B34" si="7">B14</f>
        <v>555209.2699999786</v>
      </c>
      <c r="C15" s="257"/>
      <c r="D15" s="73"/>
      <c r="E15" s="73">
        <f t="shared" si="1"/>
        <v>555209.2699999786</v>
      </c>
      <c r="G15" s="256">
        <f t="shared" si="3"/>
        <v>0.01</v>
      </c>
      <c r="H15" s="496">
        <f t="shared" si="4"/>
        <v>0.1203</v>
      </c>
      <c r="I15" s="254">
        <f t="shared" si="0"/>
        <v>0.1303</v>
      </c>
      <c r="J15" s="255">
        <f t="shared" si="5"/>
        <v>198.20210378355401</v>
      </c>
      <c r="K15" s="74">
        <f t="shared" si="6"/>
        <v>0</v>
      </c>
    </row>
    <row r="16" spans="1:12" x14ac:dyDescent="0.3">
      <c r="A16" s="232">
        <f t="shared" si="2"/>
        <v>46214</v>
      </c>
      <c r="B16" s="321">
        <f t="shared" si="7"/>
        <v>555209.2699999786</v>
      </c>
      <c r="C16" s="257"/>
      <c r="D16" s="73"/>
      <c r="E16" s="73">
        <f t="shared" si="1"/>
        <v>555209.2699999786</v>
      </c>
      <c r="G16" s="256">
        <f t="shared" si="3"/>
        <v>0.01</v>
      </c>
      <c r="H16" s="496">
        <f t="shared" si="4"/>
        <v>0.1203</v>
      </c>
      <c r="I16" s="254">
        <f t="shared" si="0"/>
        <v>0.1303</v>
      </c>
      <c r="J16" s="255">
        <f t="shared" si="5"/>
        <v>198.20210378355401</v>
      </c>
      <c r="K16" s="74">
        <f t="shared" si="6"/>
        <v>0</v>
      </c>
    </row>
    <row r="17" spans="1:12" x14ac:dyDescent="0.3">
      <c r="A17" s="232">
        <f t="shared" si="2"/>
        <v>46215</v>
      </c>
      <c r="B17" s="321">
        <f t="shared" si="7"/>
        <v>555209.2699999786</v>
      </c>
      <c r="C17" s="257"/>
      <c r="D17" s="73"/>
      <c r="E17" s="73">
        <f>SUM(B17:D17)</f>
        <v>555209.2699999786</v>
      </c>
      <c r="G17" s="256">
        <f t="shared" si="3"/>
        <v>0.01</v>
      </c>
      <c r="H17" s="496">
        <f t="shared" si="4"/>
        <v>0.1203</v>
      </c>
      <c r="I17" s="254">
        <f t="shared" si="0"/>
        <v>0.1303</v>
      </c>
      <c r="J17" s="255">
        <f t="shared" si="5"/>
        <v>198.20210378355401</v>
      </c>
      <c r="K17" s="74">
        <f t="shared" si="6"/>
        <v>0</v>
      </c>
    </row>
    <row r="18" spans="1:12" x14ac:dyDescent="0.3">
      <c r="A18" s="232">
        <f t="shared" si="2"/>
        <v>46216</v>
      </c>
      <c r="B18" s="321">
        <f t="shared" si="7"/>
        <v>555209.2699999786</v>
      </c>
      <c r="C18" s="257"/>
      <c r="D18" s="73"/>
      <c r="E18" s="73">
        <f t="shared" si="1"/>
        <v>555209.2699999786</v>
      </c>
      <c r="G18" s="256">
        <f t="shared" si="3"/>
        <v>0.01</v>
      </c>
      <c r="H18" s="496">
        <f t="shared" si="4"/>
        <v>0.1203</v>
      </c>
      <c r="I18" s="254">
        <f t="shared" si="0"/>
        <v>0.1303</v>
      </c>
      <c r="J18" s="255">
        <f t="shared" si="5"/>
        <v>198.20210378355401</v>
      </c>
      <c r="K18" s="74">
        <f t="shared" si="6"/>
        <v>0</v>
      </c>
    </row>
    <row r="19" spans="1:12" x14ac:dyDescent="0.3">
      <c r="A19" s="232">
        <f t="shared" si="2"/>
        <v>46217</v>
      </c>
      <c r="B19" s="321">
        <f t="shared" si="7"/>
        <v>555209.2699999786</v>
      </c>
      <c r="C19" s="257"/>
      <c r="D19" s="73"/>
      <c r="E19" s="73">
        <f t="shared" si="1"/>
        <v>555209.2699999786</v>
      </c>
      <c r="G19" s="256">
        <f t="shared" si="3"/>
        <v>0.01</v>
      </c>
      <c r="H19" s="496">
        <f t="shared" si="4"/>
        <v>0.1203</v>
      </c>
      <c r="I19" s="254">
        <f t="shared" si="0"/>
        <v>0.1303</v>
      </c>
      <c r="J19" s="255">
        <f t="shared" si="5"/>
        <v>198.20210378355401</v>
      </c>
      <c r="K19" s="74">
        <f t="shared" si="6"/>
        <v>0</v>
      </c>
      <c r="L19" s="123"/>
    </row>
    <row r="20" spans="1:12" x14ac:dyDescent="0.3">
      <c r="A20" s="232">
        <f t="shared" si="2"/>
        <v>46218</v>
      </c>
      <c r="B20" s="321">
        <f t="shared" si="7"/>
        <v>555209.2699999786</v>
      </c>
      <c r="C20" s="257"/>
      <c r="D20" s="73"/>
      <c r="E20" s="73">
        <f t="shared" si="1"/>
        <v>555209.2699999786</v>
      </c>
      <c r="G20" s="256">
        <f t="shared" si="3"/>
        <v>0.01</v>
      </c>
      <c r="H20" s="496">
        <f t="shared" si="4"/>
        <v>0.1203</v>
      </c>
      <c r="I20" s="254">
        <f t="shared" si="0"/>
        <v>0.1303</v>
      </c>
      <c r="J20" s="255">
        <f t="shared" si="5"/>
        <v>198.20210378355401</v>
      </c>
      <c r="K20" s="74">
        <f t="shared" si="6"/>
        <v>0</v>
      </c>
      <c r="L20" s="74"/>
    </row>
    <row r="21" spans="1:12" x14ac:dyDescent="0.3">
      <c r="A21" s="232">
        <f t="shared" si="2"/>
        <v>46219</v>
      </c>
      <c r="B21" s="321">
        <f t="shared" si="7"/>
        <v>555209.2699999786</v>
      </c>
      <c r="C21" s="257"/>
      <c r="D21" s="73"/>
      <c r="E21" s="73">
        <f t="shared" si="1"/>
        <v>555209.2699999786</v>
      </c>
      <c r="G21" s="256">
        <f t="shared" si="3"/>
        <v>0.01</v>
      </c>
      <c r="H21" s="496">
        <f t="shared" si="4"/>
        <v>0.1203</v>
      </c>
      <c r="I21" s="254">
        <f t="shared" si="0"/>
        <v>0.1303</v>
      </c>
      <c r="J21" s="255">
        <f t="shared" si="5"/>
        <v>198.20210378355401</v>
      </c>
      <c r="K21" s="74">
        <f t="shared" si="6"/>
        <v>0</v>
      </c>
      <c r="L21" s="74"/>
    </row>
    <row r="22" spans="1:12" x14ac:dyDescent="0.3">
      <c r="A22" s="232">
        <f t="shared" si="2"/>
        <v>46220</v>
      </c>
      <c r="B22" s="321">
        <f t="shared" si="7"/>
        <v>555209.2699999786</v>
      </c>
      <c r="C22" s="73"/>
      <c r="D22" s="73"/>
      <c r="E22" s="73">
        <f>SUM(B22:D22)</f>
        <v>555209.2699999786</v>
      </c>
      <c r="G22" s="256">
        <f t="shared" si="3"/>
        <v>0.01</v>
      </c>
      <c r="H22" s="496">
        <f t="shared" si="4"/>
        <v>0.1203</v>
      </c>
      <c r="I22" s="254">
        <f t="shared" si="0"/>
        <v>0.1303</v>
      </c>
      <c r="J22" s="255">
        <f t="shared" si="5"/>
        <v>198.20210378355401</v>
      </c>
      <c r="K22" s="74">
        <f t="shared" si="6"/>
        <v>0</v>
      </c>
      <c r="L22" s="74"/>
    </row>
    <row r="23" spans="1:12" x14ac:dyDescent="0.3">
      <c r="A23" s="232">
        <f t="shared" si="2"/>
        <v>46221</v>
      </c>
      <c r="B23" s="321">
        <f t="shared" si="7"/>
        <v>555209.2699999786</v>
      </c>
      <c r="C23" s="90"/>
      <c r="D23" s="73"/>
      <c r="E23" s="73">
        <f t="shared" si="1"/>
        <v>555209.2699999786</v>
      </c>
      <c r="G23" s="256">
        <f t="shared" si="3"/>
        <v>0.01</v>
      </c>
      <c r="H23" s="496">
        <f t="shared" si="4"/>
        <v>0.1203</v>
      </c>
      <c r="I23" s="254">
        <f t="shared" si="0"/>
        <v>0.1303</v>
      </c>
      <c r="J23" s="255">
        <f t="shared" si="5"/>
        <v>198.20210378355401</v>
      </c>
      <c r="K23" s="74">
        <f t="shared" si="6"/>
        <v>0</v>
      </c>
    </row>
    <row r="24" spans="1:12" x14ac:dyDescent="0.3">
      <c r="A24" s="232">
        <f t="shared" si="2"/>
        <v>46222</v>
      </c>
      <c r="B24" s="321">
        <f t="shared" si="7"/>
        <v>555209.2699999786</v>
      </c>
      <c r="C24" s="73"/>
      <c r="D24" s="73"/>
      <c r="E24" s="73">
        <f t="shared" si="1"/>
        <v>555209.2699999786</v>
      </c>
      <c r="G24" s="256">
        <f t="shared" si="3"/>
        <v>0.01</v>
      </c>
      <c r="H24" s="496">
        <f t="shared" si="4"/>
        <v>0.1203</v>
      </c>
      <c r="I24" s="254">
        <f t="shared" si="0"/>
        <v>0.1303</v>
      </c>
      <c r="J24" s="255">
        <f t="shared" si="5"/>
        <v>198.20210378355401</v>
      </c>
      <c r="K24" s="74">
        <f t="shared" si="6"/>
        <v>0</v>
      </c>
    </row>
    <row r="25" spans="1:12" x14ac:dyDescent="0.3">
      <c r="A25" s="232">
        <f t="shared" si="2"/>
        <v>46223</v>
      </c>
      <c r="B25" s="321">
        <f t="shared" si="7"/>
        <v>555209.2699999786</v>
      </c>
      <c r="C25" s="73"/>
      <c r="D25" s="73"/>
      <c r="E25" s="73">
        <f t="shared" si="1"/>
        <v>555209.2699999786</v>
      </c>
      <c r="G25" s="256">
        <f t="shared" si="3"/>
        <v>0.01</v>
      </c>
      <c r="H25" s="496">
        <f t="shared" si="4"/>
        <v>0.1203</v>
      </c>
      <c r="I25" s="254">
        <f t="shared" si="0"/>
        <v>0.1303</v>
      </c>
      <c r="J25" s="255">
        <f t="shared" si="5"/>
        <v>198.20210378355401</v>
      </c>
      <c r="K25" s="74">
        <f t="shared" si="6"/>
        <v>0</v>
      </c>
      <c r="L25" s="312"/>
    </row>
    <row r="26" spans="1:12" x14ac:dyDescent="0.3">
      <c r="A26" s="232">
        <f t="shared" si="2"/>
        <v>46224</v>
      </c>
      <c r="B26" s="321">
        <f t="shared" si="7"/>
        <v>555209.2699999786</v>
      </c>
      <c r="C26" s="73"/>
      <c r="D26" s="73"/>
      <c r="E26" s="73">
        <f t="shared" si="1"/>
        <v>555209.2699999786</v>
      </c>
      <c r="G26" s="256">
        <f t="shared" si="3"/>
        <v>0.01</v>
      </c>
      <c r="H26" s="496">
        <f t="shared" si="4"/>
        <v>0.1203</v>
      </c>
      <c r="I26" s="254">
        <f t="shared" si="0"/>
        <v>0.1303</v>
      </c>
      <c r="J26" s="255">
        <f t="shared" si="5"/>
        <v>198.20210378355401</v>
      </c>
      <c r="K26" s="74">
        <f t="shared" si="6"/>
        <v>0</v>
      </c>
    </row>
    <row r="27" spans="1:12" x14ac:dyDescent="0.3">
      <c r="A27" s="232">
        <f t="shared" si="2"/>
        <v>46225</v>
      </c>
      <c r="B27" s="321">
        <f t="shared" si="7"/>
        <v>555209.2699999786</v>
      </c>
      <c r="C27" s="73"/>
      <c r="D27" s="73"/>
      <c r="E27" s="73">
        <f t="shared" si="1"/>
        <v>555209.2699999786</v>
      </c>
      <c r="G27" s="256">
        <f t="shared" si="3"/>
        <v>0.01</v>
      </c>
      <c r="H27" s="496">
        <f t="shared" si="4"/>
        <v>0.1203</v>
      </c>
      <c r="I27" s="254">
        <f t="shared" si="0"/>
        <v>0.1303</v>
      </c>
      <c r="J27" s="255">
        <f t="shared" si="5"/>
        <v>198.20210378355401</v>
      </c>
      <c r="K27" s="74">
        <f t="shared" si="6"/>
        <v>0</v>
      </c>
      <c r="L27" s="74"/>
    </row>
    <row r="28" spans="1:12" x14ac:dyDescent="0.3">
      <c r="A28" s="232">
        <f t="shared" si="2"/>
        <v>46226</v>
      </c>
      <c r="B28" s="321">
        <f t="shared" si="7"/>
        <v>555209.2699999786</v>
      </c>
      <c r="C28" s="73"/>
      <c r="D28" s="73"/>
      <c r="E28" s="73">
        <f t="shared" si="1"/>
        <v>555209.2699999786</v>
      </c>
      <c r="G28" s="256">
        <f t="shared" si="3"/>
        <v>0.01</v>
      </c>
      <c r="H28" s="496">
        <f t="shared" si="4"/>
        <v>0.1203</v>
      </c>
      <c r="I28" s="254">
        <f t="shared" si="0"/>
        <v>0.1303</v>
      </c>
      <c r="J28" s="255">
        <f t="shared" si="5"/>
        <v>198.20210378355401</v>
      </c>
      <c r="K28" s="74">
        <f t="shared" si="6"/>
        <v>0</v>
      </c>
    </row>
    <row r="29" spans="1:12" x14ac:dyDescent="0.3">
      <c r="A29" s="232">
        <f t="shared" si="2"/>
        <v>46227</v>
      </c>
      <c r="B29" s="321">
        <f t="shared" si="7"/>
        <v>555209.2699999786</v>
      </c>
      <c r="C29" s="73"/>
      <c r="D29" s="73"/>
      <c r="E29" s="73">
        <f t="shared" si="1"/>
        <v>555209.2699999786</v>
      </c>
      <c r="G29" s="256">
        <f t="shared" si="3"/>
        <v>0.01</v>
      </c>
      <c r="H29" s="496">
        <f t="shared" si="4"/>
        <v>0.1203</v>
      </c>
      <c r="I29" s="254">
        <f t="shared" si="0"/>
        <v>0.1303</v>
      </c>
      <c r="J29" s="255">
        <f t="shared" si="5"/>
        <v>198.20210378355401</v>
      </c>
      <c r="K29" s="74">
        <f t="shared" si="6"/>
        <v>0</v>
      </c>
    </row>
    <row r="30" spans="1:12" x14ac:dyDescent="0.3">
      <c r="A30" s="232">
        <f t="shared" si="2"/>
        <v>46228</v>
      </c>
      <c r="B30" s="321">
        <f t="shared" si="7"/>
        <v>555209.2699999786</v>
      </c>
      <c r="C30" s="73"/>
      <c r="D30" s="73"/>
      <c r="E30" s="73">
        <f t="shared" si="1"/>
        <v>555209.2699999786</v>
      </c>
      <c r="G30" s="256">
        <f t="shared" si="3"/>
        <v>0.01</v>
      </c>
      <c r="H30" s="496">
        <f t="shared" si="4"/>
        <v>0.1203</v>
      </c>
      <c r="I30" s="254">
        <f t="shared" ref="I30:I36" si="8">+H30+G30</f>
        <v>0.1303</v>
      </c>
      <c r="J30" s="255">
        <f t="shared" si="5"/>
        <v>198.20210378355401</v>
      </c>
      <c r="K30" s="74">
        <f t="shared" si="6"/>
        <v>0</v>
      </c>
      <c r="L30" s="74"/>
    </row>
    <row r="31" spans="1:12" x14ac:dyDescent="0.3">
      <c r="A31" s="232">
        <f t="shared" si="2"/>
        <v>46229</v>
      </c>
      <c r="B31" s="321">
        <f t="shared" si="7"/>
        <v>555209.2699999786</v>
      </c>
      <c r="C31" s="73"/>
      <c r="D31" s="73"/>
      <c r="E31" s="73">
        <f t="shared" si="1"/>
        <v>555209.2699999786</v>
      </c>
      <c r="G31" s="256">
        <f t="shared" si="3"/>
        <v>0.01</v>
      </c>
      <c r="H31" s="496">
        <f t="shared" si="4"/>
        <v>0.1203</v>
      </c>
      <c r="I31" s="254">
        <f t="shared" si="8"/>
        <v>0.1303</v>
      </c>
      <c r="J31" s="255">
        <f t="shared" si="5"/>
        <v>198.20210378355401</v>
      </c>
      <c r="K31" s="74">
        <f t="shared" si="6"/>
        <v>0</v>
      </c>
    </row>
    <row r="32" spans="1:12" x14ac:dyDescent="0.3">
      <c r="A32" s="232">
        <f t="shared" si="2"/>
        <v>46230</v>
      </c>
      <c r="B32" s="321">
        <f t="shared" si="7"/>
        <v>555209.2699999786</v>
      </c>
      <c r="C32" s="73"/>
      <c r="D32" s="73"/>
      <c r="E32" s="73">
        <f t="shared" si="1"/>
        <v>555209.2699999786</v>
      </c>
      <c r="G32" s="256">
        <f t="shared" si="3"/>
        <v>0.01</v>
      </c>
      <c r="H32" s="496">
        <f t="shared" si="4"/>
        <v>0.1203</v>
      </c>
      <c r="I32" s="254">
        <f t="shared" si="8"/>
        <v>0.1303</v>
      </c>
      <c r="J32" s="255">
        <f t="shared" si="5"/>
        <v>198.20210378355401</v>
      </c>
      <c r="K32" s="74">
        <f t="shared" si="6"/>
        <v>0</v>
      </c>
    </row>
    <row r="33" spans="1:11" x14ac:dyDescent="0.3">
      <c r="A33" s="232">
        <f t="shared" si="2"/>
        <v>46231</v>
      </c>
      <c r="B33" s="321">
        <f t="shared" si="7"/>
        <v>555209.2699999786</v>
      </c>
      <c r="C33" s="73"/>
      <c r="D33" s="73"/>
      <c r="E33" s="73">
        <f t="shared" si="1"/>
        <v>555209.2699999786</v>
      </c>
      <c r="G33" s="256">
        <f t="shared" si="3"/>
        <v>0.01</v>
      </c>
      <c r="H33" s="496">
        <f t="shared" si="4"/>
        <v>0.1203</v>
      </c>
      <c r="I33" s="254">
        <f t="shared" si="8"/>
        <v>0.1303</v>
      </c>
      <c r="J33" s="255">
        <f>IF(E33&lt;0,0,E33*I33/365)</f>
        <v>198.20210378355401</v>
      </c>
      <c r="K33" s="74">
        <f t="shared" si="6"/>
        <v>0</v>
      </c>
    </row>
    <row r="34" spans="1:11" x14ac:dyDescent="0.3">
      <c r="A34" s="232">
        <f t="shared" si="2"/>
        <v>46232</v>
      </c>
      <c r="B34" s="321">
        <f t="shared" si="7"/>
        <v>555209.2699999786</v>
      </c>
      <c r="C34" s="73"/>
      <c r="D34" s="73"/>
      <c r="E34" s="73">
        <f>SUM(B34:D34)</f>
        <v>555209.2699999786</v>
      </c>
      <c r="G34" s="256">
        <f t="shared" si="3"/>
        <v>0.01</v>
      </c>
      <c r="H34" s="496">
        <f t="shared" si="4"/>
        <v>0.1203</v>
      </c>
      <c r="I34" s="254">
        <f t="shared" si="8"/>
        <v>0.1303</v>
      </c>
      <c r="J34" s="255">
        <f>IF(E34&lt;0,0,E34*I34/365)</f>
        <v>198.20210378355401</v>
      </c>
      <c r="K34" s="74">
        <f t="shared" si="6"/>
        <v>0</v>
      </c>
    </row>
    <row r="35" spans="1:11" x14ac:dyDescent="0.3">
      <c r="A35" s="232">
        <f t="shared" si="2"/>
        <v>46233</v>
      </c>
      <c r="B35" s="321">
        <f>B34</f>
        <v>555209.2699999786</v>
      </c>
      <c r="C35" s="73"/>
      <c r="D35" s="73"/>
      <c r="E35" s="73">
        <f>SUM(B35:D35)</f>
        <v>555209.2699999786</v>
      </c>
      <c r="G35" s="256">
        <f t="shared" si="3"/>
        <v>0.01</v>
      </c>
      <c r="H35" s="496">
        <f t="shared" si="4"/>
        <v>0.1203</v>
      </c>
      <c r="I35" s="254">
        <f t="shared" si="8"/>
        <v>0.1303</v>
      </c>
      <c r="J35" s="255">
        <f>IF(E35&lt;0,0,E35*I35/365)</f>
        <v>198.20210378355401</v>
      </c>
      <c r="K35" s="74">
        <f>+E35-E34</f>
        <v>0</v>
      </c>
    </row>
    <row r="36" spans="1:11" x14ac:dyDescent="0.3">
      <c r="A36" s="232">
        <f t="shared" si="2"/>
        <v>46234</v>
      </c>
      <c r="B36" s="321">
        <f>B35</f>
        <v>555209.2699999786</v>
      </c>
      <c r="C36" s="73"/>
      <c r="D36" s="73"/>
      <c r="E36" s="73">
        <f>SUM(B36:D36)</f>
        <v>555209.2699999786</v>
      </c>
      <c r="G36" s="256">
        <f t="shared" si="3"/>
        <v>0.01</v>
      </c>
      <c r="H36" s="496">
        <f t="shared" si="4"/>
        <v>0.1203</v>
      </c>
      <c r="I36" s="254">
        <f t="shared" si="8"/>
        <v>0.1303</v>
      </c>
      <c r="J36" s="255">
        <f>IF(E36&lt;0,0,E36*I36/365)</f>
        <v>198.20210378355401</v>
      </c>
      <c r="K36" s="74">
        <f>+E36-E35</f>
        <v>0</v>
      </c>
    </row>
    <row r="37" spans="1:11" x14ac:dyDescent="0.3">
      <c r="G37" s="258" t="s">
        <v>18</v>
      </c>
      <c r="H37" s="19"/>
      <c r="I37" s="19"/>
      <c r="J37" s="260">
        <f>SUM(J6:J36)</f>
        <v>21789.871161761432</v>
      </c>
    </row>
    <row r="38" spans="1:11" x14ac:dyDescent="0.3">
      <c r="A38" s="795"/>
      <c r="B38" s="795"/>
      <c r="C38" s="795"/>
      <c r="D38" s="795"/>
      <c r="E38" s="795"/>
      <c r="F38" s="795"/>
      <c r="G38" s="795"/>
      <c r="H38" s="795"/>
      <c r="I38" s="795"/>
      <c r="J38" s="795"/>
    </row>
    <row r="39" spans="1:11" x14ac:dyDescent="0.3">
      <c r="G39" s="783" t="s">
        <v>24</v>
      </c>
      <c r="H39" s="783"/>
      <c r="I39" s="783"/>
    </row>
    <row r="40" spans="1:11" x14ac:dyDescent="0.3">
      <c r="G40" s="784"/>
      <c r="H40" s="784"/>
      <c r="I40" s="784"/>
      <c r="J40" s="261" t="s">
        <v>0</v>
      </c>
    </row>
    <row r="41" spans="1:11" x14ac:dyDescent="0.3">
      <c r="G41" s="785" t="s">
        <v>19</v>
      </c>
      <c r="H41" s="785"/>
      <c r="I41" s="785"/>
      <c r="J41" s="265">
        <f>'[3]MCB-RF '!$J$46</f>
        <v>183194.71393341635</v>
      </c>
      <c r="K41" s="189"/>
    </row>
    <row r="42" spans="1:11" x14ac:dyDescent="0.3">
      <c r="G42" s="786" t="s">
        <v>40</v>
      </c>
      <c r="H42" s="786"/>
      <c r="I42" s="786"/>
      <c r="J42" s="513">
        <v>195347.06</v>
      </c>
      <c r="K42" s="189"/>
    </row>
    <row r="43" spans="1:11" x14ac:dyDescent="0.3">
      <c r="B43" s="2"/>
      <c r="D43" s="2"/>
      <c r="G43" s="787" t="str">
        <f>IF(J43&lt;0,"Excess Provision to be Reversed","Additional Provision Required")</f>
        <v>Additional Provision Required</v>
      </c>
      <c r="H43" s="787"/>
      <c r="I43" s="787"/>
      <c r="J43" s="263">
        <f>IF(J42=0,0,J42-J41)</f>
        <v>12152.346066583646</v>
      </c>
    </row>
    <row r="44" spans="1:11" x14ac:dyDescent="0.3">
      <c r="G44" s="784"/>
      <c r="H44" s="784"/>
      <c r="I44" s="784"/>
      <c r="J44" s="532"/>
    </row>
    <row r="45" spans="1:11" ht="16.2" customHeight="1" thickBot="1" x14ac:dyDescent="0.35">
      <c r="G45" s="780" t="s">
        <v>145</v>
      </c>
      <c r="H45" s="780"/>
      <c r="I45" s="780"/>
      <c r="J45" s="264">
        <f>J37+J43</f>
        <v>33942.217228345078</v>
      </c>
    </row>
    <row r="46" spans="1:11" x14ac:dyDescent="0.3">
      <c r="G46" s="781"/>
      <c r="H46" s="781"/>
      <c r="I46" s="781"/>
      <c r="J46" s="781"/>
    </row>
    <row r="47" spans="1:11" x14ac:dyDescent="0.3">
      <c r="G47" s="782" t="s">
        <v>33</v>
      </c>
      <c r="H47" s="782"/>
      <c r="I47" s="782"/>
      <c r="J47" s="265">
        <f>J41+J45-J42</f>
        <v>21789.871161761432</v>
      </c>
      <c r="K47" s="74"/>
    </row>
    <row r="48" spans="1:11" ht="14.4" x14ac:dyDescent="0.3">
      <c r="J48" s="352"/>
    </row>
    <row r="49" spans="10:10" x14ac:dyDescent="0.3">
      <c r="J49" s="1"/>
    </row>
  </sheetData>
  <mergeCells count="15">
    <mergeCell ref="A1:J1"/>
    <mergeCell ref="A2:I2"/>
    <mergeCell ref="A3:J3"/>
    <mergeCell ref="A4:A5"/>
    <mergeCell ref="H4:H5"/>
    <mergeCell ref="A38:J38"/>
    <mergeCell ref="G45:I45"/>
    <mergeCell ref="G46:J46"/>
    <mergeCell ref="G47:I47"/>
    <mergeCell ref="G39:I39"/>
    <mergeCell ref="G40:I40"/>
    <mergeCell ref="G41:I41"/>
    <mergeCell ref="G42:I42"/>
    <mergeCell ref="G43:I43"/>
    <mergeCell ref="G44:I44"/>
  </mergeCells>
  <printOptions horizontalCentered="1" verticalCentered="1"/>
  <pageMargins left="0.75" right="0.75" top="0.5" bottom="0.5" header="0.5" footer="0.5"/>
  <pageSetup scale="80" orientation="landscape" r:id="rId1"/>
  <headerFooter alignWithMargins="0"/>
  <ignoredErrors>
    <ignoredError sqref="E6:E32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EBE4-D29E-47C0-8736-436DB86A9A6F}">
  <sheetPr>
    <pageSetUpPr fitToPage="1"/>
  </sheetPr>
  <dimension ref="A1:G89"/>
  <sheetViews>
    <sheetView showGridLines="0" topLeftCell="A64" zoomScaleNormal="100" workbookViewId="0">
      <selection activeCell="B76" sqref="B76"/>
    </sheetView>
  </sheetViews>
  <sheetFormatPr defaultColWidth="10.6328125" defaultRowHeight="13.8" x14ac:dyDescent="0.3"/>
  <cols>
    <col min="1" max="1" width="15.1796875" style="2" customWidth="1"/>
    <col min="2" max="2" width="12.26953125" style="359" customWidth="1"/>
    <col min="3" max="3" width="11.6328125" style="2" customWidth="1"/>
    <col min="4" max="4" width="11.81640625" style="2" bestFit="1" customWidth="1"/>
    <col min="5" max="6" width="11" style="2" bestFit="1" customWidth="1"/>
    <col min="7" max="7" width="8.81640625" style="2" customWidth="1"/>
    <col min="8" max="16384" width="10.6328125" style="2"/>
  </cols>
  <sheetData>
    <row r="1" spans="1:7" ht="18" x14ac:dyDescent="0.35">
      <c r="A1" s="788" t="s">
        <v>152</v>
      </c>
      <c r="B1" s="788"/>
      <c r="C1" s="788"/>
    </row>
    <row r="2" spans="1:7" ht="18.600000000000001" thickBot="1" x14ac:dyDescent="0.4">
      <c r="A2" s="471" t="s">
        <v>186</v>
      </c>
      <c r="B2" s="715"/>
      <c r="C2" s="58">
        <f>'FINANCIAL COST SUMMARY '!I2</f>
        <v>46204</v>
      </c>
    </row>
    <row r="3" spans="1:7" x14ac:dyDescent="0.3">
      <c r="A3" s="798"/>
      <c r="B3" s="798"/>
      <c r="C3" s="798"/>
    </row>
    <row r="4" spans="1:7" s="227" customFormat="1" x14ac:dyDescent="0.3">
      <c r="A4" s="533" t="s">
        <v>23</v>
      </c>
      <c r="C4" s="534"/>
    </row>
    <row r="5" spans="1:7" s="230" customFormat="1" ht="37.799999999999997" customHeight="1" x14ac:dyDescent="0.3">
      <c r="A5" s="86" t="s">
        <v>4</v>
      </c>
      <c r="B5" s="328" t="s">
        <v>338</v>
      </c>
      <c r="C5" s="229" t="s">
        <v>0</v>
      </c>
      <c r="E5" s="231"/>
      <c r="G5" s="231"/>
    </row>
    <row r="6" spans="1:7" x14ac:dyDescent="0.3">
      <c r="A6" s="232">
        <v>46204</v>
      </c>
      <c r="B6" s="313"/>
      <c r="C6" s="73">
        <f t="shared" ref="C6:C34" si="0">SUM(B6:B6)</f>
        <v>0</v>
      </c>
      <c r="E6" s="317">
        <v>46148</v>
      </c>
      <c r="F6" s="318">
        <v>120</v>
      </c>
      <c r="G6" s="317">
        <f>E6+F6</f>
        <v>46268</v>
      </c>
    </row>
    <row r="7" spans="1:7" x14ac:dyDescent="0.3">
      <c r="A7" s="232">
        <f>+A6+1</f>
        <v>46205</v>
      </c>
      <c r="B7" s="313"/>
      <c r="C7" s="73">
        <f t="shared" si="0"/>
        <v>0</v>
      </c>
    </row>
    <row r="8" spans="1:7" x14ac:dyDescent="0.3">
      <c r="A8" s="232">
        <f t="shared" ref="A8:A36" si="1">+A7+1</f>
        <v>46206</v>
      </c>
      <c r="B8" s="313"/>
      <c r="C8" s="73">
        <f t="shared" si="0"/>
        <v>0</v>
      </c>
      <c r="D8" s="312"/>
    </row>
    <row r="9" spans="1:7" x14ac:dyDescent="0.3">
      <c r="A9" s="232">
        <f t="shared" si="1"/>
        <v>46207</v>
      </c>
      <c r="B9" s="313"/>
      <c r="C9" s="73">
        <f t="shared" si="0"/>
        <v>0</v>
      </c>
      <c r="E9" s="97"/>
      <c r="G9" s="97"/>
    </row>
    <row r="10" spans="1:7" x14ac:dyDescent="0.3">
      <c r="A10" s="232">
        <f t="shared" si="1"/>
        <v>46208</v>
      </c>
      <c r="B10" s="313"/>
      <c r="C10" s="73">
        <f t="shared" si="0"/>
        <v>0</v>
      </c>
    </row>
    <row r="11" spans="1:7" x14ac:dyDescent="0.3">
      <c r="A11" s="232">
        <f t="shared" si="1"/>
        <v>46209</v>
      </c>
      <c r="B11" s="313"/>
      <c r="C11" s="73">
        <f t="shared" si="0"/>
        <v>0</v>
      </c>
    </row>
    <row r="12" spans="1:7" x14ac:dyDescent="0.3">
      <c r="A12" s="232">
        <f t="shared" si="1"/>
        <v>46210</v>
      </c>
      <c r="B12" s="313"/>
      <c r="C12" s="73">
        <f t="shared" si="0"/>
        <v>0</v>
      </c>
    </row>
    <row r="13" spans="1:7" x14ac:dyDescent="0.3">
      <c r="A13" s="232">
        <f t="shared" si="1"/>
        <v>46211</v>
      </c>
      <c r="B13" s="313"/>
      <c r="C13" s="73">
        <f t="shared" si="0"/>
        <v>0</v>
      </c>
      <c r="E13" s="97"/>
      <c r="G13" s="97"/>
    </row>
    <row r="14" spans="1:7" x14ac:dyDescent="0.3">
      <c r="A14" s="232">
        <f t="shared" si="1"/>
        <v>46212</v>
      </c>
      <c r="B14" s="313"/>
      <c r="C14" s="73">
        <f t="shared" si="0"/>
        <v>0</v>
      </c>
    </row>
    <row r="15" spans="1:7" x14ac:dyDescent="0.3">
      <c r="A15" s="232">
        <f t="shared" si="1"/>
        <v>46213</v>
      </c>
      <c r="B15" s="313"/>
      <c r="C15" s="73">
        <f t="shared" si="0"/>
        <v>0</v>
      </c>
    </row>
    <row r="16" spans="1:7" x14ac:dyDescent="0.3">
      <c r="A16" s="232">
        <f t="shared" si="1"/>
        <v>46214</v>
      </c>
      <c r="B16" s="313"/>
      <c r="C16" s="73">
        <f t="shared" si="0"/>
        <v>0</v>
      </c>
    </row>
    <row r="17" spans="1:7" x14ac:dyDescent="0.3">
      <c r="A17" s="232">
        <f t="shared" si="1"/>
        <v>46215</v>
      </c>
      <c r="B17" s="313"/>
      <c r="C17" s="73">
        <f t="shared" si="0"/>
        <v>0</v>
      </c>
    </row>
    <row r="18" spans="1:7" x14ac:dyDescent="0.3">
      <c r="A18" s="232">
        <f t="shared" si="1"/>
        <v>46216</v>
      </c>
      <c r="B18" s="313"/>
      <c r="C18" s="73">
        <f t="shared" si="0"/>
        <v>0</v>
      </c>
    </row>
    <row r="19" spans="1:7" x14ac:dyDescent="0.3">
      <c r="A19" s="232">
        <f t="shared" si="1"/>
        <v>46217</v>
      </c>
      <c r="B19" s="313"/>
      <c r="C19" s="73">
        <f t="shared" si="0"/>
        <v>0</v>
      </c>
    </row>
    <row r="20" spans="1:7" x14ac:dyDescent="0.3">
      <c r="A20" s="232">
        <f t="shared" si="1"/>
        <v>46218</v>
      </c>
      <c r="B20" s="313"/>
      <c r="C20" s="73">
        <f t="shared" si="0"/>
        <v>0</v>
      </c>
    </row>
    <row r="21" spans="1:7" x14ac:dyDescent="0.3">
      <c r="A21" s="232">
        <f t="shared" si="1"/>
        <v>46219</v>
      </c>
      <c r="B21" s="313"/>
      <c r="C21" s="73">
        <f t="shared" si="0"/>
        <v>0</v>
      </c>
    </row>
    <row r="22" spans="1:7" ht="14.4" customHeight="1" x14ac:dyDescent="0.3">
      <c r="A22" s="232">
        <f t="shared" si="1"/>
        <v>46220</v>
      </c>
      <c r="B22" s="313"/>
      <c r="C22" s="73">
        <f t="shared" si="0"/>
        <v>0</v>
      </c>
    </row>
    <row r="23" spans="1:7" s="359" customFormat="1" x14ac:dyDescent="0.3">
      <c r="A23" s="357">
        <f t="shared" si="1"/>
        <v>46221</v>
      </c>
      <c r="B23" s="313"/>
      <c r="C23" s="73">
        <f t="shared" si="0"/>
        <v>0</v>
      </c>
    </row>
    <row r="24" spans="1:7" s="359" customFormat="1" x14ac:dyDescent="0.3">
      <c r="A24" s="357">
        <f t="shared" si="1"/>
        <v>46222</v>
      </c>
      <c r="B24" s="313"/>
      <c r="C24" s="73">
        <f t="shared" si="0"/>
        <v>0</v>
      </c>
    </row>
    <row r="25" spans="1:7" x14ac:dyDescent="0.3">
      <c r="A25" s="232">
        <f t="shared" si="1"/>
        <v>46223</v>
      </c>
      <c r="B25" s="313"/>
      <c r="C25" s="73">
        <f t="shared" si="0"/>
        <v>0</v>
      </c>
      <c r="E25" s="1"/>
    </row>
    <row r="26" spans="1:7" s="359" customFormat="1" x14ac:dyDescent="0.3">
      <c r="A26" s="357">
        <f t="shared" si="1"/>
        <v>46224</v>
      </c>
      <c r="B26" s="313"/>
      <c r="C26" s="73">
        <f t="shared" si="0"/>
        <v>0</v>
      </c>
    </row>
    <row r="27" spans="1:7" x14ac:dyDescent="0.3">
      <c r="A27" s="232">
        <f t="shared" si="1"/>
        <v>46225</v>
      </c>
      <c r="B27" s="313"/>
      <c r="C27" s="73">
        <f t="shared" si="0"/>
        <v>0</v>
      </c>
    </row>
    <row r="28" spans="1:7" x14ac:dyDescent="0.3">
      <c r="A28" s="232">
        <f t="shared" si="1"/>
        <v>46226</v>
      </c>
      <c r="B28" s="313"/>
      <c r="C28" s="73">
        <f t="shared" si="0"/>
        <v>0</v>
      </c>
    </row>
    <row r="29" spans="1:7" x14ac:dyDescent="0.3">
      <c r="A29" s="357">
        <f t="shared" si="1"/>
        <v>46227</v>
      </c>
      <c r="B29" s="313"/>
      <c r="C29" s="73">
        <f t="shared" si="0"/>
        <v>0</v>
      </c>
      <c r="D29" s="227"/>
    </row>
    <row r="30" spans="1:7" x14ac:dyDescent="0.3">
      <c r="A30" s="232">
        <f t="shared" si="1"/>
        <v>46228</v>
      </c>
      <c r="B30" s="313"/>
      <c r="C30" s="73">
        <f t="shared" si="0"/>
        <v>0</v>
      </c>
    </row>
    <row r="31" spans="1:7" x14ac:dyDescent="0.3">
      <c r="A31" s="232">
        <f t="shared" si="1"/>
        <v>46229</v>
      </c>
      <c r="B31" s="313"/>
      <c r="C31" s="73">
        <f t="shared" si="0"/>
        <v>0</v>
      </c>
    </row>
    <row r="32" spans="1:7" s="359" customFormat="1" x14ac:dyDescent="0.3">
      <c r="A32" s="357">
        <f t="shared" si="1"/>
        <v>46230</v>
      </c>
      <c r="B32" s="313"/>
      <c r="C32" s="73">
        <f t="shared" si="0"/>
        <v>0</v>
      </c>
      <c r="E32" s="364"/>
      <c r="G32" s="364"/>
    </row>
    <row r="33" spans="1:7" s="359" customFormat="1" x14ac:dyDescent="0.3">
      <c r="A33" s="357">
        <f t="shared" si="1"/>
        <v>46231</v>
      </c>
      <c r="B33" s="313"/>
      <c r="C33" s="73">
        <f t="shared" si="0"/>
        <v>0</v>
      </c>
      <c r="E33" s="364"/>
      <c r="F33" s="499"/>
      <c r="G33" s="364"/>
    </row>
    <row r="34" spans="1:7" s="359" customFormat="1" x14ac:dyDescent="0.3">
      <c r="A34" s="357">
        <f t="shared" si="1"/>
        <v>46232</v>
      </c>
      <c r="B34" s="313"/>
      <c r="C34" s="73">
        <f t="shared" si="0"/>
        <v>0</v>
      </c>
      <c r="E34" s="364"/>
      <c r="G34" s="364"/>
    </row>
    <row r="35" spans="1:7" s="359" customFormat="1" x14ac:dyDescent="0.3">
      <c r="A35" s="357">
        <f t="shared" si="1"/>
        <v>46233</v>
      </c>
      <c r="B35" s="313"/>
      <c r="C35" s="73">
        <f>SUM(B35:B35)</f>
        <v>0</v>
      </c>
      <c r="E35" s="364"/>
      <c r="G35" s="364"/>
    </row>
    <row r="36" spans="1:7" s="359" customFormat="1" x14ac:dyDescent="0.3">
      <c r="A36" s="357">
        <f t="shared" si="1"/>
        <v>46234</v>
      </c>
      <c r="B36" s="313"/>
      <c r="C36" s="73">
        <f>SUM(B36:B36)</f>
        <v>0</v>
      </c>
      <c r="E36" s="364"/>
      <c r="G36" s="364"/>
    </row>
    <row r="37" spans="1:7" x14ac:dyDescent="0.3">
      <c r="A37" s="441"/>
      <c r="B37" s="420"/>
      <c r="C37" s="420"/>
      <c r="D37" s="312"/>
    </row>
    <row r="38" spans="1:7" x14ac:dyDescent="0.3">
      <c r="A38" s="535" t="s">
        <v>43</v>
      </c>
      <c r="B38" s="535"/>
      <c r="C38" s="534"/>
    </row>
    <row r="39" spans="1:7" s="230" customFormat="1" ht="41.4" x14ac:dyDescent="0.3">
      <c r="A39" s="86" t="s">
        <v>4</v>
      </c>
      <c r="B39" s="434" t="s">
        <v>338</v>
      </c>
      <c r="C39" s="229" t="s">
        <v>0</v>
      </c>
    </row>
    <row r="40" spans="1:7" s="105" customFormat="1" ht="27.6" x14ac:dyDescent="0.25">
      <c r="A40" s="316" t="s">
        <v>178</v>
      </c>
      <c r="B40" s="341">
        <f>11.93%+1%</f>
        <v>0.1293</v>
      </c>
      <c r="C40" s="233"/>
    </row>
    <row r="41" spans="1:7" x14ac:dyDescent="0.3">
      <c r="A41" s="232">
        <f t="shared" ref="A41:A71" si="2">+A6</f>
        <v>46204</v>
      </c>
      <c r="B41" s="313">
        <f t="shared" ref="B41:B71" si="3">IF(B6&lt;0,0,B6*B$40/365)</f>
        <v>0</v>
      </c>
      <c r="C41" s="73">
        <f t="shared" ref="C41:C69" si="4">SUM(B41:B41)</f>
        <v>0</v>
      </c>
      <c r="D41" s="312"/>
    </row>
    <row r="42" spans="1:7" x14ac:dyDescent="0.3">
      <c r="A42" s="232">
        <f t="shared" si="2"/>
        <v>46205</v>
      </c>
      <c r="B42" s="313">
        <f t="shared" si="3"/>
        <v>0</v>
      </c>
      <c r="C42" s="73">
        <f t="shared" si="4"/>
        <v>0</v>
      </c>
    </row>
    <row r="43" spans="1:7" x14ac:dyDescent="0.3">
      <c r="A43" s="232">
        <f t="shared" si="2"/>
        <v>46206</v>
      </c>
      <c r="B43" s="313">
        <f t="shared" si="3"/>
        <v>0</v>
      </c>
      <c r="C43" s="73">
        <f t="shared" si="4"/>
        <v>0</v>
      </c>
    </row>
    <row r="44" spans="1:7" x14ac:dyDescent="0.3">
      <c r="A44" s="232">
        <f t="shared" si="2"/>
        <v>46207</v>
      </c>
      <c r="B44" s="313">
        <f t="shared" si="3"/>
        <v>0</v>
      </c>
      <c r="C44" s="73">
        <f t="shared" si="4"/>
        <v>0</v>
      </c>
    </row>
    <row r="45" spans="1:7" x14ac:dyDescent="0.3">
      <c r="A45" s="232">
        <f t="shared" si="2"/>
        <v>46208</v>
      </c>
      <c r="B45" s="313">
        <f t="shared" si="3"/>
        <v>0</v>
      </c>
      <c r="C45" s="73">
        <f t="shared" si="4"/>
        <v>0</v>
      </c>
    </row>
    <row r="46" spans="1:7" x14ac:dyDescent="0.3">
      <c r="A46" s="232">
        <f t="shared" si="2"/>
        <v>46209</v>
      </c>
      <c r="B46" s="313">
        <f t="shared" si="3"/>
        <v>0</v>
      </c>
      <c r="C46" s="73">
        <f t="shared" si="4"/>
        <v>0</v>
      </c>
    </row>
    <row r="47" spans="1:7" x14ac:dyDescent="0.3">
      <c r="A47" s="232">
        <f t="shared" si="2"/>
        <v>46210</v>
      </c>
      <c r="B47" s="313">
        <f t="shared" si="3"/>
        <v>0</v>
      </c>
      <c r="C47" s="73">
        <f t="shared" si="4"/>
        <v>0</v>
      </c>
    </row>
    <row r="48" spans="1:7" x14ac:dyDescent="0.3">
      <c r="A48" s="232">
        <f t="shared" si="2"/>
        <v>46211</v>
      </c>
      <c r="B48" s="313">
        <f t="shared" si="3"/>
        <v>0</v>
      </c>
      <c r="C48" s="73">
        <f t="shared" si="4"/>
        <v>0</v>
      </c>
    </row>
    <row r="49" spans="1:3" x14ac:dyDescent="0.3">
      <c r="A49" s="232">
        <f t="shared" si="2"/>
        <v>46212</v>
      </c>
      <c r="B49" s="313">
        <f t="shared" si="3"/>
        <v>0</v>
      </c>
      <c r="C49" s="73">
        <f t="shared" si="4"/>
        <v>0</v>
      </c>
    </row>
    <row r="50" spans="1:3" x14ac:dyDescent="0.3">
      <c r="A50" s="232">
        <f t="shared" si="2"/>
        <v>46213</v>
      </c>
      <c r="B50" s="313">
        <f t="shared" si="3"/>
        <v>0</v>
      </c>
      <c r="C50" s="73">
        <f t="shared" si="4"/>
        <v>0</v>
      </c>
    </row>
    <row r="51" spans="1:3" x14ac:dyDescent="0.3">
      <c r="A51" s="232">
        <f t="shared" si="2"/>
        <v>46214</v>
      </c>
      <c r="B51" s="313">
        <f t="shared" si="3"/>
        <v>0</v>
      </c>
      <c r="C51" s="73">
        <f t="shared" si="4"/>
        <v>0</v>
      </c>
    </row>
    <row r="52" spans="1:3" x14ac:dyDescent="0.3">
      <c r="A52" s="232">
        <f t="shared" si="2"/>
        <v>46215</v>
      </c>
      <c r="B52" s="313">
        <f t="shared" si="3"/>
        <v>0</v>
      </c>
      <c r="C52" s="73">
        <f t="shared" si="4"/>
        <v>0</v>
      </c>
    </row>
    <row r="53" spans="1:3" x14ac:dyDescent="0.3">
      <c r="A53" s="232">
        <f t="shared" si="2"/>
        <v>46216</v>
      </c>
      <c r="B53" s="313">
        <f t="shared" si="3"/>
        <v>0</v>
      </c>
      <c r="C53" s="73">
        <f t="shared" si="4"/>
        <v>0</v>
      </c>
    </row>
    <row r="54" spans="1:3" x14ac:dyDescent="0.3">
      <c r="A54" s="232">
        <f t="shared" si="2"/>
        <v>46217</v>
      </c>
      <c r="B54" s="313">
        <f t="shared" si="3"/>
        <v>0</v>
      </c>
      <c r="C54" s="73">
        <f t="shared" si="4"/>
        <v>0</v>
      </c>
    </row>
    <row r="55" spans="1:3" x14ac:dyDescent="0.3">
      <c r="A55" s="232">
        <f t="shared" si="2"/>
        <v>46218</v>
      </c>
      <c r="B55" s="313">
        <f t="shared" si="3"/>
        <v>0</v>
      </c>
      <c r="C55" s="73">
        <f t="shared" si="4"/>
        <v>0</v>
      </c>
    </row>
    <row r="56" spans="1:3" x14ac:dyDescent="0.3">
      <c r="A56" s="232">
        <f t="shared" si="2"/>
        <v>46219</v>
      </c>
      <c r="B56" s="313">
        <f t="shared" si="3"/>
        <v>0</v>
      </c>
      <c r="C56" s="73">
        <f t="shared" si="4"/>
        <v>0</v>
      </c>
    </row>
    <row r="57" spans="1:3" x14ac:dyDescent="0.3">
      <c r="A57" s="232">
        <f t="shared" si="2"/>
        <v>46220</v>
      </c>
      <c r="B57" s="313">
        <f t="shared" si="3"/>
        <v>0</v>
      </c>
      <c r="C57" s="73">
        <f t="shared" si="4"/>
        <v>0</v>
      </c>
    </row>
    <row r="58" spans="1:3" x14ac:dyDescent="0.3">
      <c r="A58" s="232">
        <f t="shared" si="2"/>
        <v>46221</v>
      </c>
      <c r="B58" s="313">
        <f t="shared" si="3"/>
        <v>0</v>
      </c>
      <c r="C58" s="73">
        <f t="shared" si="4"/>
        <v>0</v>
      </c>
    </row>
    <row r="59" spans="1:3" x14ac:dyDescent="0.3">
      <c r="A59" s="232">
        <f t="shared" si="2"/>
        <v>46222</v>
      </c>
      <c r="B59" s="313">
        <f t="shared" si="3"/>
        <v>0</v>
      </c>
      <c r="C59" s="73">
        <f t="shared" si="4"/>
        <v>0</v>
      </c>
    </row>
    <row r="60" spans="1:3" x14ac:dyDescent="0.3">
      <c r="A60" s="232">
        <f t="shared" si="2"/>
        <v>46223</v>
      </c>
      <c r="B60" s="313">
        <f t="shared" si="3"/>
        <v>0</v>
      </c>
      <c r="C60" s="73">
        <f t="shared" si="4"/>
        <v>0</v>
      </c>
    </row>
    <row r="61" spans="1:3" x14ac:dyDescent="0.3">
      <c r="A61" s="232">
        <f t="shared" si="2"/>
        <v>46224</v>
      </c>
      <c r="B61" s="313">
        <f t="shared" si="3"/>
        <v>0</v>
      </c>
      <c r="C61" s="73">
        <f t="shared" si="4"/>
        <v>0</v>
      </c>
    </row>
    <row r="62" spans="1:3" x14ac:dyDescent="0.3">
      <c r="A62" s="232">
        <f t="shared" si="2"/>
        <v>46225</v>
      </c>
      <c r="B62" s="313">
        <f t="shared" si="3"/>
        <v>0</v>
      </c>
      <c r="C62" s="73">
        <f t="shared" si="4"/>
        <v>0</v>
      </c>
    </row>
    <row r="63" spans="1:3" x14ac:dyDescent="0.3">
      <c r="A63" s="232">
        <f t="shared" si="2"/>
        <v>46226</v>
      </c>
      <c r="B63" s="313">
        <f t="shared" si="3"/>
        <v>0</v>
      </c>
      <c r="C63" s="73">
        <f t="shared" si="4"/>
        <v>0</v>
      </c>
    </row>
    <row r="64" spans="1:3" ht="14.4" customHeight="1" x14ac:dyDescent="0.3">
      <c r="A64" s="232">
        <f t="shared" si="2"/>
        <v>46227</v>
      </c>
      <c r="B64" s="313">
        <f t="shared" si="3"/>
        <v>0</v>
      </c>
      <c r="C64" s="73">
        <f t="shared" si="4"/>
        <v>0</v>
      </c>
    </row>
    <row r="65" spans="1:7" x14ac:dyDescent="0.3">
      <c r="A65" s="232">
        <f t="shared" si="2"/>
        <v>46228</v>
      </c>
      <c r="B65" s="313">
        <f t="shared" si="3"/>
        <v>0</v>
      </c>
      <c r="C65" s="73">
        <f t="shared" si="4"/>
        <v>0</v>
      </c>
    </row>
    <row r="66" spans="1:7" x14ac:dyDescent="0.3">
      <c r="A66" s="232">
        <f t="shared" si="2"/>
        <v>46229</v>
      </c>
      <c r="B66" s="313">
        <f t="shared" si="3"/>
        <v>0</v>
      </c>
      <c r="C66" s="73">
        <f t="shared" si="4"/>
        <v>0</v>
      </c>
    </row>
    <row r="67" spans="1:7" x14ac:dyDescent="0.3">
      <c r="A67" s="232">
        <f t="shared" si="2"/>
        <v>46230</v>
      </c>
      <c r="B67" s="313">
        <f t="shared" si="3"/>
        <v>0</v>
      </c>
      <c r="C67" s="73">
        <f t="shared" si="4"/>
        <v>0</v>
      </c>
    </row>
    <row r="68" spans="1:7" x14ac:dyDescent="0.3">
      <c r="A68" s="232">
        <f t="shared" si="2"/>
        <v>46231</v>
      </c>
      <c r="B68" s="313">
        <f t="shared" si="3"/>
        <v>0</v>
      </c>
      <c r="C68" s="73">
        <f t="shared" si="4"/>
        <v>0</v>
      </c>
    </row>
    <row r="69" spans="1:7" x14ac:dyDescent="0.3">
      <c r="A69" s="232">
        <f t="shared" si="2"/>
        <v>46232</v>
      </c>
      <c r="B69" s="313">
        <f t="shared" si="3"/>
        <v>0</v>
      </c>
      <c r="C69" s="73">
        <f t="shared" si="4"/>
        <v>0</v>
      </c>
    </row>
    <row r="70" spans="1:7" x14ac:dyDescent="0.3">
      <c r="A70" s="232">
        <f t="shared" si="2"/>
        <v>46233</v>
      </c>
      <c r="B70" s="313">
        <f t="shared" si="3"/>
        <v>0</v>
      </c>
      <c r="C70" s="73">
        <f>SUM(B70:B70)</f>
        <v>0</v>
      </c>
    </row>
    <row r="71" spans="1:7" x14ac:dyDescent="0.3">
      <c r="A71" s="232">
        <f t="shared" si="2"/>
        <v>46234</v>
      </c>
      <c r="B71" s="313">
        <f t="shared" si="3"/>
        <v>0</v>
      </c>
      <c r="C71" s="73">
        <f>SUM(B71:B71)</f>
        <v>0</v>
      </c>
    </row>
    <row r="72" spans="1:7" x14ac:dyDescent="0.3">
      <c r="A72" s="8" t="s">
        <v>18</v>
      </c>
      <c r="B72" s="234">
        <f>SUM(B41:B71)</f>
        <v>0</v>
      </c>
      <c r="C72" s="234">
        <f>SUM(C41:C71)</f>
        <v>0</v>
      </c>
    </row>
    <row r="73" spans="1:7" x14ac:dyDescent="0.3">
      <c r="A73" s="795"/>
      <c r="B73" s="795"/>
      <c r="C73" s="795"/>
    </row>
    <row r="74" spans="1:7" x14ac:dyDescent="0.3">
      <c r="A74" s="799" t="s">
        <v>46</v>
      </c>
      <c r="B74" s="799"/>
      <c r="C74" s="799"/>
    </row>
    <row r="75" spans="1:7" s="230" customFormat="1" ht="41.4" x14ac:dyDescent="0.3">
      <c r="A75" s="86" t="s">
        <v>22</v>
      </c>
      <c r="B75" s="434" t="s">
        <v>338</v>
      </c>
      <c r="C75" s="229" t="s">
        <v>0</v>
      </c>
    </row>
    <row r="76" spans="1:7" s="359" customFormat="1" x14ac:dyDescent="0.3">
      <c r="A76" s="440" t="s">
        <v>19</v>
      </c>
      <c r="B76" s="713">
        <v>0</v>
      </c>
      <c r="C76" s="714">
        <f>SUM(B76:B76)</f>
        <v>0</v>
      </c>
      <c r="D76" s="525"/>
      <c r="E76" s="499"/>
    </row>
    <row r="77" spans="1:7" s="359" customFormat="1" x14ac:dyDescent="0.3">
      <c r="A77" s="440" t="s">
        <v>20</v>
      </c>
      <c r="B77" s="713">
        <f>B72</f>
        <v>0</v>
      </c>
      <c r="C77" s="714">
        <f>SUM(B77:B77)</f>
        <v>0</v>
      </c>
      <c r="E77" s="363"/>
    </row>
    <row r="78" spans="1:7" s="359" customFormat="1" x14ac:dyDescent="0.3">
      <c r="A78" s="440" t="s">
        <v>29</v>
      </c>
      <c r="B78" s="713"/>
      <c r="C78" s="714">
        <f>SUM(B78:B78)</f>
        <v>0</v>
      </c>
      <c r="E78" s="526"/>
      <c r="G78" s="499"/>
    </row>
    <row r="79" spans="1:7" s="359" customFormat="1" x14ac:dyDescent="0.3">
      <c r="A79" s="440" t="s">
        <v>18</v>
      </c>
      <c r="B79" s="713">
        <f>SUM(B76:B78)</f>
        <v>0</v>
      </c>
      <c r="C79" s="714">
        <f>SUM(B79:B79)</f>
        <v>0</v>
      </c>
      <c r="D79" s="526"/>
      <c r="E79" s="499"/>
    </row>
    <row r="80" spans="1:7" s="359" customFormat="1" x14ac:dyDescent="0.3">
      <c r="A80" s="796"/>
      <c r="B80" s="796"/>
      <c r="C80" s="796"/>
    </row>
    <row r="81" spans="1:6" s="359" customFormat="1" x14ac:dyDescent="0.3">
      <c r="A81" s="527" t="s">
        <v>32</v>
      </c>
      <c r="B81" s="712">
        <v>0</v>
      </c>
      <c r="C81" s="665">
        <f>SUM(B81:B81)</f>
        <v>0</v>
      </c>
      <c r="D81" s="363"/>
      <c r="E81" s="499"/>
      <c r="F81" s="499"/>
    </row>
    <row r="82" spans="1:6" s="359" customFormat="1" x14ac:dyDescent="0.3">
      <c r="A82" s="797"/>
      <c r="B82" s="797"/>
      <c r="C82" s="797"/>
      <c r="E82" s="363"/>
    </row>
    <row r="83" spans="1:6" s="359" customFormat="1" x14ac:dyDescent="0.3">
      <c r="A83" s="527" t="s">
        <v>11</v>
      </c>
      <c r="B83" s="321">
        <v>0</v>
      </c>
      <c r="C83" s="321">
        <f>SUM(B83:B83)</f>
        <v>0</v>
      </c>
      <c r="E83" s="363"/>
    </row>
    <row r="84" spans="1:6" s="359" customFormat="1" x14ac:dyDescent="0.3">
      <c r="A84" s="797"/>
      <c r="B84" s="797"/>
      <c r="C84" s="797"/>
    </row>
    <row r="85" spans="1:6" s="359" customFormat="1" x14ac:dyDescent="0.3">
      <c r="A85" s="527" t="s">
        <v>21</v>
      </c>
      <c r="B85" s="455">
        <f>B72+B83+B78</f>
        <v>0</v>
      </c>
      <c r="C85" s="455">
        <f>SUM(B85:B85)</f>
        <v>0</v>
      </c>
    </row>
    <row r="86" spans="1:6" s="359" customFormat="1" x14ac:dyDescent="0.3">
      <c r="A86" s="797"/>
      <c r="B86" s="797"/>
      <c r="C86" s="797"/>
    </row>
    <row r="87" spans="1:6" s="359" customFormat="1" x14ac:dyDescent="0.3">
      <c r="A87" s="527" t="s">
        <v>33</v>
      </c>
      <c r="B87" s="455">
        <f>B79+B83-B81</f>
        <v>0</v>
      </c>
      <c r="C87" s="455">
        <f>SUM(B87:B87)</f>
        <v>0</v>
      </c>
      <c r="E87" s="499"/>
      <c r="F87" s="499"/>
    </row>
    <row r="88" spans="1:6" x14ac:dyDescent="0.3">
      <c r="C88" s="356"/>
    </row>
    <row r="89" spans="1:6" x14ac:dyDescent="0.3">
      <c r="C89" s="439"/>
    </row>
  </sheetData>
  <mergeCells count="8">
    <mergeCell ref="A80:C80"/>
    <mergeCell ref="A82:C82"/>
    <mergeCell ref="A84:C84"/>
    <mergeCell ref="A86:C86"/>
    <mergeCell ref="A1:C1"/>
    <mergeCell ref="A3:C3"/>
    <mergeCell ref="A73:C73"/>
    <mergeCell ref="A74:C74"/>
  </mergeCells>
  <phoneticPr fontId="31" type="noConversion"/>
  <printOptions horizontalCentered="1" verticalCentered="1"/>
  <pageMargins left="0.23622047244094491" right="0.23622047244094491" top="0.51181102362204722" bottom="0.51181102362204722" header="0.51181102362204722" footer="0.51181102362204722"/>
  <pageSetup scale="4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8</vt:i4>
      </vt:variant>
    </vt:vector>
  </HeadingPairs>
  <TitlesOfParts>
    <vt:vector size="35" baseType="lpstr">
      <vt:lpstr>VOUCHER </vt:lpstr>
      <vt:lpstr>USANCE LC SHEET (2025)</vt:lpstr>
      <vt:lpstr>FINANCIAL COST SUMMARY </vt:lpstr>
      <vt:lpstr>FINANCIAL SUMMARY</vt:lpstr>
      <vt:lpstr>INFLOW-OUTFLOW SUMMARY</vt:lpstr>
      <vt:lpstr>BORROWING SUMMARY </vt:lpstr>
      <vt:lpstr>Sheet1</vt:lpstr>
      <vt:lpstr>MCB-RF </vt:lpstr>
      <vt:lpstr>MCB-FATR </vt:lpstr>
      <vt:lpstr>SONERI-RF </vt:lpstr>
      <vt:lpstr>SONERI-FATR</vt:lpstr>
      <vt:lpstr>BOP - RF</vt:lpstr>
      <vt:lpstr>BOP - FATR</vt:lpstr>
      <vt:lpstr>BIPL-FATR</vt:lpstr>
      <vt:lpstr>BIPL-RF</vt:lpstr>
      <vt:lpstr>MBL-Musawammah</vt:lpstr>
      <vt:lpstr>NBP-ISLAMIC</vt:lpstr>
      <vt:lpstr>FBL-ISTISNA</vt:lpstr>
      <vt:lpstr>FBL-ISTISNA 2 </vt:lpstr>
      <vt:lpstr>PBICL</vt:lpstr>
      <vt:lpstr>PBICL (RPS)</vt:lpstr>
      <vt:lpstr>STATUS 1</vt:lpstr>
      <vt:lpstr>STATUS</vt:lpstr>
      <vt:lpstr>VOUCHER</vt:lpstr>
      <vt:lpstr>ALFALAH-FE25</vt:lpstr>
      <vt:lpstr>BOP-FATR</vt:lpstr>
      <vt:lpstr>BOP-RF</vt:lpstr>
      <vt:lpstr>'BORROWING SUMMARY '!Print_Area</vt:lpstr>
      <vt:lpstr>'FINANCIAL COST SUMMARY '!Print_Area</vt:lpstr>
      <vt:lpstr>'FINANCIAL SUMMARY'!Print_Area</vt:lpstr>
      <vt:lpstr>'INFLOW-OUTFLOW SUMMARY'!Print_Area</vt:lpstr>
      <vt:lpstr>'SONERI-RF '!Print_Area</vt:lpstr>
      <vt:lpstr>'USANCE LC SHEET (2025)'!Print_Area</vt:lpstr>
      <vt:lpstr>VOUCHER!Print_Area</vt:lpstr>
      <vt:lpstr>'VOUCHER '!Print_Area</vt:lpstr>
    </vt:vector>
  </TitlesOfParts>
  <Company>Nimir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</dc:creator>
  <cp:lastModifiedBy>Naveed Mustafa</cp:lastModifiedBy>
  <cp:lastPrinted>2026-06-30T05:03:58Z</cp:lastPrinted>
  <dcterms:created xsi:type="dcterms:W3CDTF">2001-02-07T13:37:55Z</dcterms:created>
  <dcterms:modified xsi:type="dcterms:W3CDTF">2026-07-13T05:33:17Z</dcterms:modified>
</cp:coreProperties>
</file>